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GEOTECH\Temporary\BEL-147-25.88 (118147) Wall Design\"/>
    </mc:Choice>
  </mc:AlternateContent>
  <xr:revisionPtr revIDLastSave="0" documentId="13_ncr:1_{73BDB2D0-BCA3-46CB-8E80-25B767BD23E4}" xr6:coauthVersionLast="47" xr6:coauthVersionMax="47" xr10:uidLastSave="{00000000-0000-0000-0000-000000000000}"/>
  <bookViews>
    <workbookView xWindow="-120" yWindow="-120" windowWidth="28980" windowHeight="15810" xr2:uid="{00000000-000D-0000-FFFF-FFFF00000000}"/>
  </bookViews>
  <sheets>
    <sheet name="Chart" sheetId="1" r:id="rId1"/>
    <sheet name="Lookups" sheetId="2" r:id="rId2"/>
    <sheet name="Table 1" sheetId="3" r:id="rId3"/>
  </sheets>
  <definedNames>
    <definedName name="_xlnm.Print_Area" localSheetId="0">Chart!#REF!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7" i="1" l="1"/>
  <c r="M7" i="1" s="1"/>
  <c r="G7" i="1" l="1"/>
  <c r="H7" i="1" l="1"/>
  <c r="I7" i="1"/>
  <c r="J7" i="1"/>
  <c r="K7" i="1"/>
  <c r="P7" i="1"/>
  <c r="Q7" i="1" s="1"/>
  <c r="J22" i="1" l="1"/>
  <c r="I22" i="1"/>
  <c r="J21" i="1"/>
  <c r="I21" i="1"/>
  <c r="J20" i="1"/>
  <c r="I20" i="1"/>
  <c r="J19" i="1"/>
  <c r="I19" i="1"/>
  <c r="J18" i="1"/>
  <c r="I18" i="1"/>
  <c r="J17" i="1"/>
  <c r="I17" i="1"/>
  <c r="B22" i="1" l="1"/>
  <c r="B21" i="1"/>
  <c r="B20" i="1"/>
  <c r="B19" i="1"/>
  <c r="B18" i="1"/>
  <c r="B17" i="1"/>
  <c r="Q22" i="1"/>
  <c r="P22" i="1"/>
  <c r="O22" i="1"/>
  <c r="N22" i="1"/>
  <c r="M22" i="1"/>
  <c r="L22" i="1"/>
  <c r="K22" i="1"/>
  <c r="H22" i="1"/>
  <c r="Q21" i="1"/>
  <c r="P21" i="1"/>
  <c r="O21" i="1"/>
  <c r="N21" i="1"/>
  <c r="M21" i="1"/>
  <c r="L21" i="1"/>
  <c r="K21" i="1"/>
  <c r="H21" i="1"/>
  <c r="Q20" i="1"/>
  <c r="P20" i="1"/>
  <c r="O20" i="1"/>
  <c r="N20" i="1"/>
  <c r="M20" i="1"/>
  <c r="L20" i="1"/>
  <c r="K20" i="1"/>
  <c r="H20" i="1"/>
  <c r="Q19" i="1"/>
  <c r="P19" i="1"/>
  <c r="O19" i="1"/>
  <c r="N19" i="1"/>
  <c r="M19" i="1"/>
  <c r="L19" i="1"/>
  <c r="K19" i="1"/>
  <c r="H19" i="1"/>
  <c r="Q18" i="1"/>
  <c r="P18" i="1"/>
  <c r="O18" i="1"/>
  <c r="N18" i="1"/>
  <c r="M18" i="1"/>
  <c r="L18" i="1"/>
  <c r="K18" i="1"/>
  <c r="H18" i="1"/>
  <c r="Q17" i="1"/>
  <c r="P17" i="1"/>
  <c r="O17" i="1"/>
  <c r="N17" i="1"/>
  <c r="M17" i="1"/>
  <c r="L17" i="1"/>
  <c r="K17" i="1"/>
  <c r="H17" i="1"/>
  <c r="G22" i="1"/>
  <c r="G21" i="1"/>
  <c r="G20" i="1"/>
  <c r="G19" i="1"/>
  <c r="G18" i="1"/>
  <c r="G17" i="1"/>
  <c r="T5" i="2"/>
  <c r="S5" i="2"/>
  <c r="AD22" i="2"/>
  <c r="AD21" i="2"/>
  <c r="AD20" i="2"/>
  <c r="AD19" i="2"/>
  <c r="AD18" i="2"/>
  <c r="AD17" i="2"/>
  <c r="AD16" i="2"/>
  <c r="AD15" i="2"/>
  <c r="AB29" i="2"/>
  <c r="AB28" i="2"/>
  <c r="AB27" i="2"/>
  <c r="AB26" i="2"/>
  <c r="AB25" i="2"/>
  <c r="AC22" i="2"/>
  <c r="AC21" i="2"/>
  <c r="AC20" i="2"/>
  <c r="AC19" i="2"/>
  <c r="AC18" i="2"/>
  <c r="AC17" i="2"/>
  <c r="AC16" i="2"/>
  <c r="AC15" i="2"/>
  <c r="V18" i="3" l="1"/>
  <c r="W18" i="3" s="1"/>
  <c r="X18" i="3" s="1"/>
  <c r="J18" i="3"/>
  <c r="H18" i="3"/>
  <c r="V17" i="3"/>
  <c r="W17" i="3" s="1"/>
  <c r="X17" i="3" s="1"/>
  <c r="J17" i="3"/>
  <c r="H17" i="3"/>
  <c r="V16" i="3"/>
  <c r="W16" i="3" s="1"/>
  <c r="X16" i="3" s="1"/>
  <c r="J16" i="3"/>
  <c r="H16" i="3"/>
  <c r="V15" i="3"/>
  <c r="W15" i="3" s="1"/>
  <c r="X15" i="3" s="1"/>
  <c r="J15" i="3"/>
  <c r="H15" i="3"/>
  <c r="V14" i="3"/>
  <c r="W14" i="3" s="1"/>
  <c r="X14" i="3" s="1"/>
  <c r="J14" i="3"/>
  <c r="H14" i="3"/>
  <c r="J10" i="3"/>
  <c r="J9" i="3"/>
  <c r="H9" i="3"/>
  <c r="J8" i="3"/>
  <c r="H8" i="3"/>
  <c r="J7" i="3"/>
  <c r="H7" i="3"/>
  <c r="J6" i="3"/>
  <c r="H6" i="3"/>
  <c r="J5" i="3"/>
  <c r="H10" i="2" l="1"/>
  <c r="W10" i="2"/>
  <c r="X10" i="2" s="1"/>
  <c r="S10" i="2"/>
  <c r="T10" i="2" s="1"/>
  <c r="V43" i="2"/>
  <c r="U43" i="2"/>
  <c r="V42" i="2"/>
  <c r="U42" i="2"/>
  <c r="V41" i="2"/>
  <c r="U41" i="2"/>
  <c r="V40" i="2"/>
  <c r="U40" i="2"/>
  <c r="V39" i="2"/>
  <c r="V10" i="2" s="1"/>
  <c r="U39" i="2"/>
  <c r="U10" i="2" s="1"/>
  <c r="V38" i="2"/>
  <c r="U38" i="2"/>
  <c r="V37" i="2"/>
  <c r="U37" i="2"/>
  <c r="V36" i="2"/>
  <c r="O7" i="1" s="1"/>
  <c r="U36" i="2"/>
  <c r="N7" i="1" s="1"/>
  <c r="V35" i="2"/>
  <c r="U35" i="2"/>
  <c r="V33" i="2"/>
  <c r="U33" i="2"/>
  <c r="V34" i="2"/>
  <c r="U34" i="2"/>
  <c r="O43" i="2"/>
  <c r="O34" i="2"/>
  <c r="P42" i="2"/>
  <c r="O42" i="2" s="1"/>
  <c r="P40" i="2"/>
  <c r="O40" i="2" s="1"/>
  <c r="P38" i="2"/>
  <c r="O38" i="2" s="1"/>
  <c r="P36" i="2"/>
  <c r="O36" i="2" s="1"/>
  <c r="T43" i="2"/>
  <c r="T42" i="2"/>
  <c r="T41" i="2"/>
  <c r="T40" i="2"/>
  <c r="T39" i="2"/>
  <c r="T38" i="2"/>
  <c r="T37" i="2"/>
  <c r="T36" i="2"/>
  <c r="T35" i="2"/>
  <c r="T34" i="2"/>
  <c r="T33" i="2"/>
  <c r="J42" i="2" l="1"/>
  <c r="H42" i="2"/>
  <c r="J40" i="2"/>
  <c r="H40" i="2"/>
  <c r="J38" i="2"/>
  <c r="H38" i="2"/>
  <c r="J36" i="2"/>
  <c r="H36" i="2"/>
  <c r="J34" i="2"/>
  <c r="H34" i="2"/>
  <c r="H5" i="2"/>
  <c r="W5" i="2"/>
  <c r="X5" i="2" s="1"/>
  <c r="V5" i="2"/>
  <c r="U5" i="2"/>
  <c r="R5" i="2"/>
  <c r="O5" i="2"/>
  <c r="P5" i="2"/>
  <c r="Q5" i="2"/>
  <c r="N28" i="2"/>
  <c r="Q27" i="2"/>
  <c r="Q26" i="2"/>
  <c r="P26" i="2" s="1"/>
  <c r="J26" i="2"/>
  <c r="O25" i="2"/>
  <c r="N25" i="2"/>
  <c r="Q25" i="2" s="1"/>
  <c r="Q24" i="2"/>
  <c r="O24" i="2"/>
  <c r="N24" i="2"/>
  <c r="J24" i="2"/>
  <c r="H24" i="2"/>
  <c r="Q23" i="2"/>
  <c r="O23" i="2"/>
  <c r="N23" i="2"/>
  <c r="Q22" i="2"/>
  <c r="O22" i="2"/>
  <c r="N22" i="2"/>
  <c r="J22" i="2"/>
  <c r="H22" i="2"/>
  <c r="Q21" i="2"/>
  <c r="O21" i="2"/>
  <c r="N21" i="2"/>
  <c r="Q20" i="2"/>
  <c r="O20" i="2"/>
  <c r="N20" i="2"/>
  <c r="J20" i="2"/>
  <c r="H20" i="2"/>
  <c r="Q19" i="2"/>
  <c r="O19" i="2"/>
  <c r="N19" i="2"/>
  <c r="Q18" i="2"/>
  <c r="O18" i="2"/>
  <c r="N18" i="2"/>
  <c r="J18" i="2"/>
  <c r="H18" i="2"/>
  <c r="Q17" i="2"/>
  <c r="O17" i="2"/>
  <c r="N17" i="2"/>
  <c r="Q16" i="2"/>
  <c r="O16" i="2"/>
  <c r="N16" i="2"/>
  <c r="J16" i="2"/>
  <c r="Q15" i="2"/>
</calcChain>
</file>

<file path=xl/sharedStrings.xml><?xml version="1.0" encoding="utf-8"?>
<sst xmlns="http://schemas.openxmlformats.org/spreadsheetml/2006/main" count="469" uniqueCount="165">
  <si>
    <t>Density</t>
  </si>
  <si>
    <t>Blow Counts N</t>
  </si>
  <si>
    <t>tsf</t>
  </si>
  <si>
    <t>psf</t>
  </si>
  <si>
    <t>Very Loose</t>
  </si>
  <si>
    <t>-</t>
  </si>
  <si>
    <t>Loose</t>
  </si>
  <si>
    <t>Medium Dense</t>
  </si>
  <si>
    <t>Dense</t>
  </si>
  <si>
    <t>Very Dense</t>
  </si>
  <si>
    <t>&gt;</t>
  </si>
  <si>
    <t>Consistency</t>
  </si>
  <si>
    <t>Very Soft</t>
  </si>
  <si>
    <t>&lt;</t>
  </si>
  <si>
    <t>Soft</t>
  </si>
  <si>
    <t>Medium Stiff</t>
  </si>
  <si>
    <t>Stiff</t>
  </si>
  <si>
    <t>Very Stiff</t>
  </si>
  <si>
    <t>Hard</t>
  </si>
  <si>
    <t>Properties for Cohesive Soils</t>
  </si>
  <si>
    <t>Properties for Granular Soils</t>
  </si>
  <si>
    <t>0-5 ft</t>
  </si>
  <si>
    <t>5-10 ft</t>
  </si>
  <si>
    <t>&gt;40 ft</t>
  </si>
  <si>
    <t>Dry Unit Weight / Wet Unit Weight at Depth</t>
  </si>
  <si>
    <t>115/135</t>
  </si>
  <si>
    <t>120/135</t>
  </si>
  <si>
    <t>135/145</t>
  </si>
  <si>
    <t>10-20 ft</t>
  </si>
  <si>
    <t>20-40 ft</t>
  </si>
  <si>
    <t>115/130</t>
  </si>
  <si>
    <t>110/130</t>
  </si>
  <si>
    <t>125/140</t>
  </si>
  <si>
    <t>105/125</t>
  </si>
  <si>
    <t>100/120</t>
  </si>
  <si>
    <t>95/115</t>
  </si>
  <si>
    <t>110/125</t>
  </si>
  <si>
    <t>125/135</t>
  </si>
  <si>
    <t>130/140</t>
  </si>
  <si>
    <t>115/125</t>
  </si>
  <si>
    <t>120/130</t>
  </si>
  <si>
    <t>120/140</t>
  </si>
  <si>
    <t>115/140</t>
  </si>
  <si>
    <t>130/150</t>
  </si>
  <si>
    <t>Unconfined Compressive Strength qu</t>
  </si>
  <si>
    <t>PHI</t>
  </si>
  <si>
    <t>Nc</t>
  </si>
  <si>
    <t>Nq</t>
  </si>
  <si>
    <t>Ng</t>
  </si>
  <si>
    <t>Terzaghi No's</t>
  </si>
  <si>
    <t>SIG'D</t>
  </si>
  <si>
    <t>qu</t>
  </si>
  <si>
    <t>qall</t>
  </si>
  <si>
    <t>TABLE 1 – Typical Unit Weight Relationships for Various Soils</t>
  </si>
  <si>
    <t>Cohesion</t>
  </si>
  <si>
    <t>12-18</t>
  </si>
  <si>
    <t>150-200</t>
  </si>
  <si>
    <t>200-250</t>
  </si>
  <si>
    <t>100-150</t>
  </si>
  <si>
    <t>0-25</t>
  </si>
  <si>
    <t>25-50</t>
  </si>
  <si>
    <t>50-100</t>
  </si>
  <si>
    <t>18-20</t>
  </si>
  <si>
    <t>20-22</t>
  </si>
  <si>
    <t>22-24</t>
  </si>
  <si>
    <t>24-26</t>
  </si>
  <si>
    <t>26-28</t>
  </si>
  <si>
    <t>"Typical" Long-Term Strength Values</t>
  </si>
  <si>
    <t>Short Term</t>
  </si>
  <si>
    <t>1000-1500</t>
  </si>
  <si>
    <t>1500+</t>
  </si>
  <si>
    <t>0-250</t>
  </si>
  <si>
    <t>Range</t>
  </si>
  <si>
    <t>85/105</t>
  </si>
  <si>
    <t>90/110</t>
  </si>
  <si>
    <t>95/110</t>
  </si>
  <si>
    <t>90/105</t>
  </si>
  <si>
    <t>95/120</t>
  </si>
  <si>
    <t>90/115</t>
  </si>
  <si>
    <t>* Granular (cohesionless) soils cannot, by definition, exhibit a meaningful value for unconfined compressive strength.  Ultimate bearing</t>
  </si>
  <si>
    <t>capacity for cohesionless soils is greatly dependant upon depth, angle of internal friction, and width of bearing surface, and cannot be</t>
  </si>
  <si>
    <t>easily summarized.</t>
  </si>
  <si>
    <t>All unit weights in this table are expressed in pounds per cubic foot (pcf).</t>
  </si>
  <si>
    <t>Unconfined Compressive Strength qu*</t>
  </si>
  <si>
    <t>250-500</t>
  </si>
  <si>
    <t>500-1000</t>
  </si>
  <si>
    <t>26-28°</t>
  </si>
  <si>
    <t>28-30°</t>
  </si>
  <si>
    <t>30-34°</t>
  </si>
  <si>
    <t>34-36°</t>
  </si>
  <si>
    <t>38-40°</t>
  </si>
  <si>
    <t>V.Soft-Soft</t>
  </si>
  <si>
    <t>Soft-M.Stiff</t>
  </si>
  <si>
    <t>M.Stiff-Stiff</t>
  </si>
  <si>
    <t>Stiff-V.Stiff</t>
  </si>
  <si>
    <t>V.Stiff-Hard</t>
  </si>
  <si>
    <r>
      <t>N</t>
    </r>
    <r>
      <rPr>
        <b/>
        <vertAlign val="subscript"/>
        <sz val="10"/>
        <rFont val="Arial"/>
        <family val="2"/>
      </rPr>
      <t>60</t>
    </r>
  </si>
  <si>
    <r>
      <t>c</t>
    </r>
    <r>
      <rPr>
        <b/>
        <sz val="10"/>
        <rFont val="Calibri"/>
        <family val="2"/>
      </rPr>
      <t>′</t>
    </r>
  </si>
  <si>
    <t>φ′</t>
  </si>
  <si>
    <r>
      <t>S</t>
    </r>
    <r>
      <rPr>
        <b/>
        <vertAlign val="subscript"/>
        <sz val="10"/>
        <rFont val="Arial"/>
        <family val="2"/>
      </rPr>
      <t>u</t>
    </r>
  </si>
  <si>
    <t>Pudding</t>
  </si>
  <si>
    <r>
      <rPr>
        <b/>
        <sz val="10"/>
        <rFont val="Times New Roman"/>
        <family val="1"/>
      </rPr>
      <t>γ</t>
    </r>
    <r>
      <rPr>
        <b/>
        <vertAlign val="subscript"/>
        <sz val="10"/>
        <rFont val="Calibri"/>
        <family val="2"/>
      </rPr>
      <t>dry</t>
    </r>
  </si>
  <si>
    <r>
      <rPr>
        <b/>
        <sz val="10"/>
        <rFont val="Times New Roman"/>
        <family val="1"/>
      </rPr>
      <t>γ</t>
    </r>
    <r>
      <rPr>
        <b/>
        <vertAlign val="subscript"/>
        <sz val="10"/>
        <rFont val="Calibri"/>
        <family val="2"/>
      </rPr>
      <t>moist</t>
    </r>
  </si>
  <si>
    <r>
      <rPr>
        <b/>
        <sz val="10"/>
        <rFont val="Times New Roman"/>
        <family val="1"/>
      </rPr>
      <t>γ</t>
    </r>
    <r>
      <rPr>
        <b/>
        <vertAlign val="subscript"/>
        <sz val="10"/>
        <rFont val="Calibri"/>
        <family val="2"/>
      </rPr>
      <t>wet</t>
    </r>
  </si>
  <si>
    <t>Very Hard</t>
  </si>
  <si>
    <t>Hard-V.Hard</t>
  </si>
  <si>
    <r>
      <t>φ</t>
    </r>
    <r>
      <rPr>
        <b/>
        <vertAlign val="subscript"/>
        <sz val="10"/>
        <rFont val="Calibri"/>
        <family val="2"/>
      </rPr>
      <t>equiv.</t>
    </r>
  </si>
  <si>
    <r>
      <t>Q</t>
    </r>
    <r>
      <rPr>
        <b/>
        <vertAlign val="subscript"/>
        <sz val="10"/>
        <rFont val="Arial"/>
        <family val="2"/>
      </rPr>
      <t>u</t>
    </r>
  </si>
  <si>
    <t>degrees</t>
  </si>
  <si>
    <t>pcf</t>
  </si>
  <si>
    <t>Embankment</t>
  </si>
  <si>
    <t>bpf</t>
  </si>
  <si>
    <r>
      <t>N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 xml:space="preserve"> Range</t>
    </r>
  </si>
  <si>
    <t>Typical Properties</t>
  </si>
  <si>
    <t>Soil</t>
  </si>
  <si>
    <t>Class</t>
  </si>
  <si>
    <t>A-4a</t>
  </si>
  <si>
    <t>A-4b</t>
  </si>
  <si>
    <t>A-5</t>
  </si>
  <si>
    <t>A-6a</t>
  </si>
  <si>
    <t>A-6b</t>
  </si>
  <si>
    <t>A-7-5</t>
  </si>
  <si>
    <t>A-7-6</t>
  </si>
  <si>
    <t>+</t>
  </si>
  <si>
    <t>Drained</t>
  </si>
  <si>
    <t>Undrained</t>
  </si>
  <si>
    <t>Equiv.</t>
  </si>
  <si>
    <t>Unit Weights</t>
  </si>
  <si>
    <t>Equivalent</t>
  </si>
  <si>
    <t>A-1-a</t>
  </si>
  <si>
    <t>A-1-b</t>
  </si>
  <si>
    <t>A-3</t>
  </si>
  <si>
    <t>A-3a</t>
  </si>
  <si>
    <t>A-2-4</t>
  </si>
  <si>
    <t>A-2-6</t>
  </si>
  <si>
    <t>A-2-5</t>
  </si>
  <si>
    <t>A-2-7</t>
  </si>
  <si>
    <t>Cohesive Soil</t>
  </si>
  <si>
    <t>Granular Soil</t>
  </si>
  <si>
    <t>V.Loose-Loose</t>
  </si>
  <si>
    <t>Loose-M.Dense</t>
  </si>
  <si>
    <t>M.Dense-Dense</t>
  </si>
  <si>
    <t>Dense-V.Dense</t>
  </si>
  <si>
    <t>Undensified</t>
  </si>
  <si>
    <t>Fully Dense</t>
  </si>
  <si>
    <t>Layer</t>
  </si>
  <si>
    <t>Number</t>
  </si>
  <si>
    <t>(No.)</t>
  </si>
  <si>
    <t>Type</t>
  </si>
  <si>
    <t>(bpf)</t>
  </si>
  <si>
    <t>Cohesive</t>
  </si>
  <si>
    <t>Granular</t>
  </si>
  <si>
    <t>(degrees)</t>
  </si>
  <si>
    <t>Adjust.</t>
  </si>
  <si>
    <t>or Density</t>
  </si>
  <si>
    <r>
      <rPr>
        <b/>
        <sz val="10"/>
        <rFont val="Times New Roman"/>
        <family val="1"/>
      </rPr>
      <t>γ</t>
    </r>
    <r>
      <rPr>
        <b/>
        <vertAlign val="subscript"/>
        <sz val="10"/>
        <rFont val="Calibri"/>
        <family val="2"/>
      </rPr>
      <t>tot</t>
    </r>
  </si>
  <si>
    <r>
      <rPr>
        <b/>
        <sz val="10"/>
        <rFont val="Times New Roman"/>
        <family val="1"/>
      </rPr>
      <t>γ</t>
    </r>
    <r>
      <rPr>
        <b/>
        <sz val="10"/>
        <rFont val="Calibri"/>
        <family val="2"/>
      </rPr>
      <t>′</t>
    </r>
    <r>
      <rPr>
        <b/>
        <vertAlign val="subscript"/>
        <sz val="10"/>
        <rFont val="Calibri"/>
        <family val="2"/>
      </rPr>
      <t>eff.</t>
    </r>
  </si>
  <si>
    <r>
      <rPr>
        <b/>
        <sz val="10"/>
        <rFont val="Times New Roman"/>
        <family val="1"/>
      </rPr>
      <t>γ</t>
    </r>
    <r>
      <rPr>
        <b/>
        <vertAlign val="subscript"/>
        <sz val="10"/>
        <rFont val="Calibri"/>
        <family val="2"/>
      </rPr>
      <t>tot.(wet)</t>
    </r>
  </si>
  <si>
    <r>
      <rPr>
        <b/>
        <sz val="10"/>
        <rFont val="Times New Roman"/>
        <family val="1"/>
      </rPr>
      <t>γ</t>
    </r>
    <r>
      <rPr>
        <b/>
        <sz val="10"/>
        <rFont val="Calibri"/>
        <family val="2"/>
      </rPr>
      <t>′</t>
    </r>
    <r>
      <rPr>
        <b/>
        <vertAlign val="subscript"/>
        <sz val="10"/>
        <rFont val="Calibri"/>
        <family val="2"/>
      </rPr>
      <t xml:space="preserve"> (eff.)</t>
    </r>
  </si>
  <si>
    <t>Unconfined</t>
  </si>
  <si>
    <t>Avg.</t>
  </si>
  <si>
    <t>Project:</t>
  </si>
  <si>
    <t>PID:</t>
  </si>
  <si>
    <t>Clay</t>
  </si>
  <si>
    <t>BEL-250-4.49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</si>
</sst>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0"/>
      <name val="Arial"/>
    </font>
    <font>
      <b/>
      <sz val="10"/>
      <name val="Arial"/>
      <family val="2"/>
    </font>
    <font>
      <b/>
      <sz val="10"/>
      <name val="Arial"/>
      <family val="2"/>
    </font>
    <font>
      <b/>
      <sz val="10"/>
      <name val="Arial Narrow"/>
      <family val="2"/>
    </font>
    <font>
      <b/>
      <sz val="12"/>
      <name val="Arial"/>
      <family val="2"/>
    </font>
    <font>
      <sz val="10"/>
      <name val="Arial"/>
      <family val="2"/>
    </font>
    <font>
      <b/>
      <vertAlign val="subscript"/>
      <sz val="10"/>
      <name val="Arial"/>
      <family val="2"/>
    </font>
    <font>
      <b/>
      <sz val="10"/>
      <name val="Calibri"/>
      <family val="2"/>
    </font>
    <font>
      <b/>
      <sz val="10"/>
      <name val="Times New Roman"/>
      <family val="1"/>
    </font>
    <font>
      <b/>
      <vertAlign val="subscript"/>
      <sz val="10"/>
      <name val="Calibri"/>
      <family val="2"/>
    </font>
    <font>
      <sz val="10"/>
      <color rgb="FF0070C0"/>
      <name val="Arial"/>
      <family val="2"/>
    </font>
    <font>
      <sz val="10"/>
      <color rgb="FFC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CC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0" fillId="0" borderId="6" xfId="0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/>
    <xf numFmtId="0" fontId="1" fillId="0" borderId="11" xfId="0" applyFont="1" applyBorder="1" applyAlignment="1">
      <alignment horizontal="center"/>
    </xf>
    <xf numFmtId="0" fontId="0" fillId="0" borderId="26" xfId="0" applyBorder="1"/>
    <xf numFmtId="0" fontId="1" fillId="0" borderId="11" xfId="0" applyFont="1" applyBorder="1"/>
    <xf numFmtId="0" fontId="0" fillId="0" borderId="12" xfId="0" applyBorder="1"/>
    <xf numFmtId="0" fontId="4" fillId="0" borderId="0" xfId="0" applyFont="1"/>
    <xf numFmtId="0" fontId="3" fillId="2" borderId="0" xfId="0" applyFont="1" applyFill="1"/>
    <xf numFmtId="0" fontId="0" fillId="2" borderId="0" xfId="0" applyFill="1" applyAlignment="1">
      <alignment horizontal="center"/>
    </xf>
    <xf numFmtId="0" fontId="0" fillId="2" borderId="0" xfId="0" applyFill="1"/>
    <xf numFmtId="0" fontId="0" fillId="2" borderId="11" xfId="0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0" fillId="2" borderId="27" xfId="0" applyFill="1" applyBorder="1" applyAlignment="1">
      <alignment horizontal="center"/>
    </xf>
    <xf numFmtId="0" fontId="1" fillId="2" borderId="28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quotePrefix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right"/>
    </xf>
    <xf numFmtId="0" fontId="0" fillId="0" borderId="4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1" xfId="0" applyBorder="1" applyAlignment="1">
      <alignment horizontal="right"/>
    </xf>
    <xf numFmtId="0" fontId="0" fillId="0" borderId="3" xfId="0" applyBorder="1" applyAlignment="1">
      <alignment horizontal="right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2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2" fillId="0" borderId="11" xfId="0" applyFont="1" applyBorder="1"/>
    <xf numFmtId="0" fontId="5" fillId="2" borderId="12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20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21" xfId="0" applyFont="1" applyFill="1" applyBorder="1" applyAlignment="1">
      <alignment horizontal="center"/>
    </xf>
    <xf numFmtId="0" fontId="5" fillId="2" borderId="22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5" fillId="0" borderId="0" xfId="0" applyFont="1"/>
    <xf numFmtId="0" fontId="5" fillId="0" borderId="26" xfId="0" applyFont="1" applyBorder="1"/>
    <xf numFmtId="0" fontId="5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0" fillId="3" borderId="17" xfId="0" applyFill="1" applyBorder="1"/>
    <xf numFmtId="0" fontId="0" fillId="3" borderId="1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20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3" fillId="0" borderId="7" xfId="0" applyFont="1" applyBorder="1"/>
    <xf numFmtId="16" fontId="5" fillId="0" borderId="0" xfId="0" quotePrefix="1" applyNumberFormat="1" applyFont="1" applyAlignment="1">
      <alignment horizontal="center"/>
    </xf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5" fillId="3" borderId="0" xfId="0" applyFont="1" applyFill="1" applyAlignment="1">
      <alignment horizontal="center"/>
    </xf>
    <xf numFmtId="0" fontId="1" fillId="0" borderId="11" xfId="0" applyFont="1" applyBorder="1" applyAlignment="1">
      <alignment horizontal="left"/>
    </xf>
    <xf numFmtId="0" fontId="0" fillId="0" borderId="10" xfId="0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0" fillId="0" borderId="6" xfId="0" applyBorder="1"/>
    <xf numFmtId="0" fontId="0" fillId="0" borderId="29" xfId="0" applyBorder="1"/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" fillId="0" borderId="6" xfId="0" applyFont="1" applyBorder="1" applyAlignment="1">
      <alignment horizontal="left"/>
    </xf>
    <xf numFmtId="0" fontId="1" fillId="0" borderId="29" xfId="0" applyFont="1" applyBorder="1" applyAlignment="1">
      <alignment horizontal="left"/>
    </xf>
    <xf numFmtId="0" fontId="1" fillId="0" borderId="35" xfId="0" applyFont="1" applyBorder="1"/>
    <xf numFmtId="0" fontId="1" fillId="0" borderId="36" xfId="0" applyFont="1" applyBorder="1"/>
    <xf numFmtId="0" fontId="7" fillId="0" borderId="1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12" xfId="0" applyFont="1" applyBorder="1"/>
    <xf numFmtId="0" fontId="5" fillId="0" borderId="3" xfId="0" applyFont="1" applyBorder="1"/>
    <xf numFmtId="0" fontId="0" fillId="3" borderId="1" xfId="0" applyFill="1" applyBorder="1"/>
    <xf numFmtId="0" fontId="5" fillId="3" borderId="1" xfId="0" applyFont="1" applyFill="1" applyBorder="1"/>
    <xf numFmtId="0" fontId="1" fillId="4" borderId="0" xfId="0" applyFont="1" applyFill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0" xfId="0" applyFont="1" applyFill="1" applyBorder="1" applyAlignment="1">
      <alignment horizontal="center"/>
    </xf>
    <xf numFmtId="0" fontId="1" fillId="4" borderId="31" xfId="0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3" fillId="4" borderId="7" xfId="0" applyFont="1" applyFill="1" applyBorder="1"/>
    <xf numFmtId="0" fontId="1" fillId="4" borderId="7" xfId="0" applyFont="1" applyFill="1" applyBorder="1" applyAlignment="1">
      <alignment horizontal="center"/>
    </xf>
    <xf numFmtId="0" fontId="0" fillId="4" borderId="23" xfId="0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1" fillId="4" borderId="16" xfId="0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5" fillId="4" borderId="13" xfId="0" applyFont="1" applyFill="1" applyBorder="1" applyAlignment="1">
      <alignment horizontal="center"/>
    </xf>
    <xf numFmtId="0" fontId="5" fillId="4" borderId="19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0" xfId="0" applyFont="1" applyFill="1" applyAlignment="1">
      <alignment horizontal="center"/>
    </xf>
    <xf numFmtId="0" fontId="5" fillId="4" borderId="20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21" xfId="0" applyFont="1" applyFill="1" applyBorder="1" applyAlignment="1">
      <alignment horizontal="center"/>
    </xf>
    <xf numFmtId="0" fontId="5" fillId="4" borderId="22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1" fillId="0" borderId="0" xfId="0" applyFont="1"/>
    <xf numFmtId="0" fontId="0" fillId="4" borderId="0" xfId="0" applyFill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10" fillId="0" borderId="0" xfId="0" applyNumberFormat="1" applyFont="1" applyAlignment="1">
      <alignment horizontal="center"/>
    </xf>
    <xf numFmtId="0" fontId="11" fillId="0" borderId="17" xfId="0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1" fontId="1" fillId="0" borderId="7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1" fillId="0" borderId="4" xfId="0" applyFont="1" applyBorder="1" applyAlignment="1">
      <alignment horizontal="center"/>
    </xf>
    <xf numFmtId="1" fontId="10" fillId="0" borderId="4" xfId="0" applyNumberFormat="1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" fillId="0" borderId="29" xfId="0" applyFont="1" applyBorder="1"/>
    <xf numFmtId="1" fontId="1" fillId="0" borderId="30" xfId="0" applyNumberFormat="1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2" fontId="1" fillId="0" borderId="29" xfId="0" applyNumberFormat="1" applyFont="1" applyBorder="1" applyAlignment="1">
      <alignment horizontal="center"/>
    </xf>
    <xf numFmtId="2" fontId="11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/>
    </xf>
    <xf numFmtId="1" fontId="1" fillId="0" borderId="31" xfId="0" applyNumberFormat="1" applyFont="1" applyBorder="1" applyAlignment="1">
      <alignment horizontal="center"/>
    </xf>
    <xf numFmtId="1" fontId="11" fillId="0" borderId="2" xfId="0" applyNumberFormat="1" applyFont="1" applyBorder="1" applyAlignment="1">
      <alignment horizontal="center"/>
    </xf>
    <xf numFmtId="1" fontId="1" fillId="0" borderId="25" xfId="0" applyNumberFormat="1" applyFont="1" applyBorder="1" applyAlignment="1">
      <alignment horizontal="center"/>
    </xf>
    <xf numFmtId="1" fontId="1" fillId="0" borderId="35" xfId="0" applyNumberFormat="1" applyFont="1" applyBorder="1" applyAlignment="1">
      <alignment horizontal="center"/>
    </xf>
    <xf numFmtId="1" fontId="1" fillId="0" borderId="36" xfId="0" applyNumberFormat="1" applyFont="1" applyBorder="1" applyAlignment="1">
      <alignment horizontal="center"/>
    </xf>
    <xf numFmtId="1" fontId="11" fillId="0" borderId="17" xfId="0" applyNumberFormat="1" applyFont="1" applyBorder="1" applyAlignment="1">
      <alignment horizontal="center"/>
    </xf>
    <xf numFmtId="2" fontId="0" fillId="0" borderId="0" xfId="0" applyNumberFormat="1" applyAlignment="1">
      <alignment horizontal="center"/>
    </xf>
    <xf numFmtId="2" fontId="11" fillId="0" borderId="3" xfId="0" applyNumberFormat="1" applyFont="1" applyBorder="1" applyAlignment="1">
      <alignment horizontal="center"/>
    </xf>
    <xf numFmtId="1" fontId="11" fillId="0" borderId="5" xfId="0" applyNumberFormat="1" applyFont="1" applyBorder="1" applyAlignment="1">
      <alignment horizontal="center"/>
    </xf>
    <xf numFmtId="1" fontId="11" fillId="0" borderId="18" xfId="0" applyNumberFormat="1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0" fillId="0" borderId="0" xfId="0" applyFont="1"/>
    <xf numFmtId="0" fontId="10" fillId="0" borderId="13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0" fillId="5" borderId="40" xfId="0" applyFill="1" applyBorder="1" applyAlignment="1">
      <alignment horizontal="center"/>
    </xf>
    <xf numFmtId="0" fontId="0" fillId="5" borderId="41" xfId="0" applyFill="1" applyBorder="1" applyAlignment="1">
      <alignment horizontal="center"/>
    </xf>
    <xf numFmtId="0" fontId="0" fillId="5" borderId="42" xfId="0" applyFill="1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10" fillId="0" borderId="32" xfId="0" applyFont="1" applyBorder="1" applyAlignment="1">
      <alignment horizontal="center"/>
    </xf>
    <xf numFmtId="0" fontId="10" fillId="0" borderId="33" xfId="0" applyFont="1" applyBorder="1" applyAlignment="1">
      <alignment horizontal="center"/>
    </xf>
    <xf numFmtId="0" fontId="10" fillId="0" borderId="3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2"/>
  <sheetViews>
    <sheetView tabSelected="1" workbookViewId="0">
      <selection activeCell="F7" sqref="F7"/>
    </sheetView>
  </sheetViews>
  <sheetFormatPr defaultRowHeight="12.75" x14ac:dyDescent="0.2"/>
  <cols>
    <col min="1" max="1" width="9" style="1" bestFit="1" customWidth="1"/>
    <col min="2" max="5" width="9.140625" style="1"/>
    <col min="6" max="6" width="5" style="60" bestFit="1" customWidth="1"/>
    <col min="7" max="7" width="14.42578125" style="1" bestFit="1" customWidth="1"/>
    <col min="8" max="8" width="9.140625" style="205"/>
    <col min="9" max="9" width="9.140625" style="60"/>
    <col min="10" max="10" width="10.42578125" style="60" bestFit="1" customWidth="1"/>
    <col min="11" max="17" width="9.140625" style="1"/>
  </cols>
  <sheetData>
    <row r="1" spans="1:17" x14ac:dyDescent="0.2">
      <c r="A1" s="89" t="s">
        <v>161</v>
      </c>
      <c r="B1" s="217" t="s">
        <v>164</v>
      </c>
      <c r="C1" s="218"/>
      <c r="D1" s="219"/>
    </row>
    <row r="2" spans="1:17" x14ac:dyDescent="0.2">
      <c r="A2" s="89" t="s">
        <v>162</v>
      </c>
      <c r="B2" s="217">
        <v>115094</v>
      </c>
      <c r="C2" s="218"/>
      <c r="D2" s="219"/>
    </row>
    <row r="3" spans="1:17" ht="13.5" thickBot="1" x14ac:dyDescent="0.25"/>
    <row r="4" spans="1:17" s="177" customFormat="1" ht="13.5" thickBot="1" x14ac:dyDescent="0.25">
      <c r="A4" s="134" t="s">
        <v>145</v>
      </c>
      <c r="B4" s="12"/>
      <c r="C4" s="12"/>
      <c r="D4" s="12"/>
      <c r="E4" s="12"/>
      <c r="F4" s="188" t="s">
        <v>160</v>
      </c>
      <c r="G4" s="13" t="s">
        <v>128</v>
      </c>
      <c r="H4" s="214" t="s">
        <v>159</v>
      </c>
      <c r="I4" s="216"/>
      <c r="J4" s="201" t="s">
        <v>125</v>
      </c>
      <c r="K4" s="212" t="s">
        <v>124</v>
      </c>
      <c r="L4" s="213"/>
      <c r="M4" s="132" t="s">
        <v>126</v>
      </c>
      <c r="N4" s="214" t="s">
        <v>127</v>
      </c>
      <c r="O4" s="215"/>
      <c r="P4" s="215"/>
      <c r="Q4" s="216"/>
    </row>
    <row r="5" spans="1:17" s="177" customFormat="1" ht="14.25" x14ac:dyDescent="0.25">
      <c r="A5" s="189" t="s">
        <v>146</v>
      </c>
      <c r="B5" s="89"/>
      <c r="C5" s="89"/>
      <c r="D5" s="89" t="s">
        <v>114</v>
      </c>
      <c r="E5" s="89" t="s">
        <v>114</v>
      </c>
      <c r="F5" s="181" t="s">
        <v>96</v>
      </c>
      <c r="G5" s="90" t="s">
        <v>11</v>
      </c>
      <c r="H5" s="195" t="s">
        <v>107</v>
      </c>
      <c r="I5" s="198" t="s">
        <v>107</v>
      </c>
      <c r="J5" s="202" t="s">
        <v>99</v>
      </c>
      <c r="K5" s="97" t="s">
        <v>97</v>
      </c>
      <c r="L5" s="98" t="s">
        <v>98</v>
      </c>
      <c r="M5" s="124" t="s">
        <v>106</v>
      </c>
      <c r="N5" s="185" t="s">
        <v>101</v>
      </c>
      <c r="O5" s="92" t="s">
        <v>102</v>
      </c>
      <c r="P5" s="98" t="s">
        <v>155</v>
      </c>
      <c r="Q5" s="124" t="s">
        <v>158</v>
      </c>
    </row>
    <row r="6" spans="1:17" s="177" customFormat="1" x14ac:dyDescent="0.2">
      <c r="A6" s="193" t="s">
        <v>147</v>
      </c>
      <c r="B6" s="116"/>
      <c r="C6" s="116"/>
      <c r="D6" s="116" t="s">
        <v>115</v>
      </c>
      <c r="E6" s="116" t="s">
        <v>148</v>
      </c>
      <c r="F6" s="194" t="s">
        <v>149</v>
      </c>
      <c r="G6" s="117" t="s">
        <v>154</v>
      </c>
      <c r="H6" s="196" t="s">
        <v>2</v>
      </c>
      <c r="I6" s="199" t="s">
        <v>3</v>
      </c>
      <c r="J6" s="203" t="s">
        <v>3</v>
      </c>
      <c r="K6" s="118" t="s">
        <v>3</v>
      </c>
      <c r="L6" s="120" t="s">
        <v>108</v>
      </c>
      <c r="M6" s="125" t="s">
        <v>108</v>
      </c>
      <c r="N6" s="139" t="s">
        <v>109</v>
      </c>
      <c r="O6" s="119" t="s">
        <v>109</v>
      </c>
      <c r="P6" s="120" t="s">
        <v>109</v>
      </c>
      <c r="Q6" s="125" t="s">
        <v>109</v>
      </c>
    </row>
    <row r="7" spans="1:17" x14ac:dyDescent="0.2">
      <c r="A7" s="14">
        <v>1</v>
      </c>
      <c r="B7" s="211" t="s">
        <v>163</v>
      </c>
      <c r="C7" s="211"/>
      <c r="D7" s="179" t="s">
        <v>119</v>
      </c>
      <c r="E7" s="179" t="s">
        <v>150</v>
      </c>
      <c r="F7" s="182">
        <v>11</v>
      </c>
      <c r="G7" s="187" t="str">
        <f>IF($D7="","",IF(E7="Cohesive",LOOKUP($F7,Lookups!$K$15:$K$28,Lookups!A$15:A$28),LOOKUP($F7,Lookups!$K$33:$K$43,Lookups!A$33:A$43)))</f>
        <v>Stiff</v>
      </c>
      <c r="H7" s="197">
        <f t="shared" ref="H7" si="0">IF($D7="","",IF(E7="Cohesive",F7*0.125,0))</f>
        <v>1.375</v>
      </c>
      <c r="I7" s="200">
        <f t="shared" ref="I7" si="1">IF($D7="","",IF(E7="Cohesive",IF(F7*250&gt;16000,16000,F7*250),0))</f>
        <v>2750</v>
      </c>
      <c r="J7" s="204">
        <f t="shared" ref="J7" si="2">IF($D7="","",IF(E7="Cohesive",IF(F7*125&gt;8000,8000,F7*125),0))</f>
        <v>1375</v>
      </c>
      <c r="K7" s="186">
        <f>IF($D7="","",IF(E7="Cohesive",LOOKUP($F7,Lookups!$K$15:$K$28,Lookups!R$15:R$28),LOOKUP($F7,Lookups!$K$33:$K$43,Lookups!R$33:R$43)))</f>
        <v>150</v>
      </c>
      <c r="L7" s="187">
        <f>IF($D7="","",IF(E7="Cohesive",LOOKUP($F7,Lookups!$K$15:$K$28,Lookups!S$15:S$28)+LOOKUP(D7,Lookups!$AA$23:$AA$29,Lookups!$AC$23:$AC$29),LOOKUP($F7,Lookups!$K$33:$K$43,Lookups!S$33:S$43)+LOOKUP(D7,Lookups!$AA$15:$AA$24,Lookups!$AB$15:$AB$24)))</f>
        <v>23</v>
      </c>
      <c r="M7" s="183">
        <f>IF($D7="","",IF(E7="Cohesive",LOOKUP($F7,Lookups!$K$15:$K$28,Lookups!T$15:T$28)+LOOKUP(D7,Lookups!$AA$23:$AA$29,Lookups!$AD$23:$AD$29),L7))</f>
        <v>32</v>
      </c>
      <c r="N7" s="186">
        <f>IF($D7="","",IF(E7="Cohesive",LOOKUP($F7,Lookups!$K$15:$K$28,Lookups!U$15:U$28),LOOKUP($F7,Lookups!$K$33:$K$43,Lookups!U$33:U$43)))</f>
        <v>100</v>
      </c>
      <c r="O7" s="180">
        <f>IF($D7="","",IF(E7="Cohesive",LOOKUP($F7,Lookups!$K$15:$K$28,Lookups!V$15:V$28),LOOKUP($F7,Lookups!$K$33:$K$43,Lookups!V$33:V$43)))</f>
        <v>110</v>
      </c>
      <c r="P7" s="187">
        <f>IF($D7="","",IF(E7="Cohesive",LOOKUP($F7,Lookups!$K$15:$K$28,Lookups!W$15:W$28),LOOKUP($F7,Lookups!$K$33:$K$43,Lookups!W$33:W$43)))</f>
        <v>120</v>
      </c>
      <c r="Q7" s="183">
        <f t="shared" ref="Q7" si="3">IF($D7="","",IF(P7&gt;0,P7-62.4,""))</f>
        <v>57.6</v>
      </c>
    </row>
    <row r="8" spans="1:17" x14ac:dyDescent="0.2">
      <c r="A8" s="14"/>
      <c r="B8" s="210"/>
      <c r="C8" s="210"/>
      <c r="D8" s="179"/>
      <c r="E8" s="179"/>
      <c r="F8" s="182"/>
      <c r="G8" s="187"/>
      <c r="H8" s="197"/>
      <c r="I8" s="200"/>
      <c r="J8" s="204"/>
      <c r="K8" s="186"/>
      <c r="L8" s="187"/>
      <c r="M8" s="183"/>
      <c r="N8" s="186"/>
      <c r="O8" s="180"/>
      <c r="P8" s="187"/>
      <c r="Q8" s="183"/>
    </row>
    <row r="9" spans="1:17" x14ac:dyDescent="0.2">
      <c r="A9" s="14"/>
      <c r="B9" s="210"/>
      <c r="C9" s="210"/>
      <c r="D9" s="179"/>
      <c r="E9" s="179"/>
      <c r="F9" s="182"/>
      <c r="G9" s="187"/>
      <c r="H9" s="197"/>
      <c r="I9" s="200"/>
      <c r="J9" s="204"/>
      <c r="K9" s="186"/>
      <c r="L9" s="187"/>
      <c r="M9" s="183"/>
      <c r="N9" s="186"/>
      <c r="O9" s="180"/>
      <c r="P9" s="187"/>
      <c r="Q9" s="183"/>
    </row>
    <row r="10" spans="1:17" x14ac:dyDescent="0.2">
      <c r="A10" s="14"/>
      <c r="B10" s="180"/>
      <c r="C10" s="179"/>
      <c r="D10" s="179"/>
      <c r="E10" s="179"/>
      <c r="F10" s="182"/>
      <c r="G10" s="187"/>
      <c r="H10" s="197"/>
      <c r="I10" s="200"/>
      <c r="J10" s="204"/>
      <c r="K10" s="186"/>
      <c r="L10" s="187"/>
      <c r="M10" s="183"/>
      <c r="N10" s="186"/>
      <c r="O10" s="180"/>
      <c r="P10" s="187"/>
      <c r="Q10" s="183"/>
    </row>
    <row r="11" spans="1:17" x14ac:dyDescent="0.2">
      <c r="A11" s="14"/>
      <c r="B11" s="180"/>
      <c r="C11" s="179"/>
      <c r="D11" s="179"/>
      <c r="E11" s="179"/>
      <c r="F11" s="182"/>
      <c r="G11" s="187"/>
      <c r="H11" s="197"/>
      <c r="I11" s="200"/>
      <c r="J11" s="204"/>
      <c r="K11" s="186"/>
      <c r="L11" s="187"/>
      <c r="M11" s="183"/>
      <c r="N11" s="186"/>
      <c r="O11" s="180"/>
      <c r="P11" s="187"/>
      <c r="Q11" s="183"/>
    </row>
    <row r="12" spans="1:17" x14ac:dyDescent="0.2">
      <c r="A12" s="14"/>
      <c r="B12" s="180"/>
      <c r="C12" s="179"/>
      <c r="D12" s="179"/>
      <c r="E12" s="179"/>
      <c r="F12" s="182"/>
      <c r="G12" s="187"/>
      <c r="H12" s="197"/>
      <c r="I12" s="200"/>
      <c r="J12" s="204"/>
      <c r="K12" s="186"/>
      <c r="L12" s="187"/>
      <c r="M12" s="183"/>
      <c r="N12" s="186"/>
      <c r="O12" s="180"/>
      <c r="P12" s="187"/>
      <c r="Q12" s="183"/>
    </row>
    <row r="13" spans="1:17" x14ac:dyDescent="0.2">
      <c r="A13" s="14"/>
      <c r="B13" s="180"/>
      <c r="C13" s="179"/>
      <c r="D13" s="179"/>
      <c r="E13" s="179"/>
      <c r="F13" s="182"/>
      <c r="G13" s="187"/>
      <c r="H13" s="197"/>
      <c r="I13" s="200"/>
      <c r="J13" s="204"/>
      <c r="K13" s="186"/>
      <c r="L13" s="187"/>
      <c r="M13" s="183"/>
      <c r="N13" s="186"/>
      <c r="O13" s="180"/>
      <c r="P13" s="187"/>
      <c r="Q13" s="183"/>
    </row>
    <row r="14" spans="1:17" x14ac:dyDescent="0.2">
      <c r="A14" s="14"/>
      <c r="B14" s="180"/>
      <c r="C14" s="179"/>
      <c r="D14" s="179"/>
      <c r="E14" s="179"/>
      <c r="F14" s="182"/>
      <c r="G14" s="187"/>
      <c r="H14" s="197"/>
      <c r="I14" s="200"/>
      <c r="J14" s="204"/>
      <c r="K14" s="186"/>
      <c r="L14" s="187"/>
      <c r="M14" s="183"/>
      <c r="N14" s="186"/>
      <c r="O14" s="180"/>
      <c r="P14" s="187"/>
      <c r="Q14" s="183"/>
    </row>
    <row r="15" spans="1:17" x14ac:dyDescent="0.2">
      <c r="A15" s="14"/>
      <c r="B15" s="180"/>
      <c r="C15" s="179"/>
      <c r="D15" s="179"/>
      <c r="E15" s="179"/>
      <c r="F15" s="182"/>
      <c r="G15" s="187"/>
      <c r="H15" s="197"/>
      <c r="I15" s="200"/>
      <c r="J15" s="204"/>
      <c r="K15" s="186"/>
      <c r="L15" s="187"/>
      <c r="M15" s="183"/>
      <c r="N15" s="186"/>
      <c r="O15" s="180"/>
      <c r="P15" s="187"/>
      <c r="Q15" s="183"/>
    </row>
    <row r="16" spans="1:17" x14ac:dyDescent="0.2">
      <c r="A16" s="14"/>
      <c r="B16" s="180"/>
      <c r="C16" s="179"/>
      <c r="D16" s="179"/>
      <c r="E16" s="179"/>
      <c r="F16" s="182"/>
      <c r="G16" s="187"/>
      <c r="H16" s="197"/>
      <c r="I16" s="200"/>
      <c r="J16" s="204"/>
      <c r="K16" s="186"/>
      <c r="L16" s="187"/>
      <c r="M16" s="183"/>
      <c r="N16" s="186"/>
      <c r="O16" s="180"/>
      <c r="P16" s="187"/>
      <c r="Q16" s="183"/>
    </row>
    <row r="17" spans="1:17" x14ac:dyDescent="0.2">
      <c r="A17" s="14"/>
      <c r="B17" s="180" t="str">
        <f t="shared" ref="B17:B22" si="4">IF(C17="","",C16)</f>
        <v/>
      </c>
      <c r="C17" s="179"/>
      <c r="D17" s="179"/>
      <c r="E17" s="179"/>
      <c r="F17" s="182"/>
      <c r="G17" s="187" t="str">
        <f>IF($D17="","",IF(E17="Cohesive",LOOKUP($F17,Lookups!$K$15:$K$28,Lookups!A$15:A$28),LOOKUP($F17,Lookups!$K$33:$K$43,Lookups!A$33:A$43)))</f>
        <v/>
      </c>
      <c r="H17" s="197" t="str">
        <f t="shared" ref="H17:H22" si="5">IF($D17="","",IF(E17="Cohesive",F17*0.125,0))</f>
        <v/>
      </c>
      <c r="I17" s="200" t="str">
        <f t="shared" ref="I17:I22" si="6">IF($D17="","",IF(E17="Cohesive",IF(F17*250&gt;16000,16000,F17*250),0))</f>
        <v/>
      </c>
      <c r="J17" s="204" t="str">
        <f t="shared" ref="J17:J22" si="7">IF($D17="","",IF(E17="Cohesive",IF(F17*125&gt;8000,8000,F17*125),0))</f>
        <v/>
      </c>
      <c r="K17" s="186" t="str">
        <f>IF($D17="","",IF(E17="Cohesive",LOOKUP($F17,Lookups!$K$15:$K$28,Lookups!R$15:R$28),LOOKUP($F17,Lookups!$K$33:$K$43,Lookups!R$33:R$43)))</f>
        <v/>
      </c>
      <c r="L17" s="187" t="str">
        <f>IF($D17="","",IF(E17="Cohesive",LOOKUP($F17,Lookups!$K$15:$K$28,Lookups!S$15:S$28)+LOOKUP(D17,Lookups!$AA$23:$AA$29,Lookups!$AC$23:$AC$29),LOOKUP($F17,Lookups!$K$33:$K$43,Lookups!S$33:S$43)+LOOKUP(D17,Lookups!$AA$15:$AA$24,Lookups!$AB$15:$AB$24)))</f>
        <v/>
      </c>
      <c r="M17" s="183" t="str">
        <f>IF($D17="","",IF(E17="Cohesive",LOOKUP($F17,Lookups!$K$15:$K$28,Lookups!T$15:T$28)+LOOKUP(D17,Lookups!$AA$23:$AA$29,Lookups!$AD$23:$AD$29),L17))</f>
        <v/>
      </c>
      <c r="N17" s="186" t="str">
        <f>IF($D17="","",IF(E17="Cohesive",LOOKUP($F17,Lookups!$K$15:$K$28,Lookups!U$15:U$28),LOOKUP($F17,Lookups!$K$33:$K$43,Lookups!U$33:U$43)))</f>
        <v/>
      </c>
      <c r="O17" s="180" t="str">
        <f>IF($D17="","",IF(E17="Cohesive",LOOKUP($F17,Lookups!$K$15:$K$28,Lookups!V$15:V$28),LOOKUP($F17,Lookups!$K$33:$K$43,Lookups!V$33:V$43)))</f>
        <v/>
      </c>
      <c r="P17" s="187" t="str">
        <f>IF($D17="","",IF(E17="Cohesive",LOOKUP($F17,Lookups!$K$15:$K$28,Lookups!W$15:W$28),LOOKUP($F17,Lookups!$K$33:$K$43,Lookups!W$33:W$43)))</f>
        <v/>
      </c>
      <c r="Q17" s="183" t="str">
        <f t="shared" ref="Q17:Q22" si="8">IF($D17="","",IF(P17&gt;0,P17-62.4,""))</f>
        <v/>
      </c>
    </row>
    <row r="18" spans="1:17" x14ac:dyDescent="0.2">
      <c r="A18" s="14"/>
      <c r="B18" s="180" t="str">
        <f t="shared" si="4"/>
        <v/>
      </c>
      <c r="C18" s="179"/>
      <c r="D18" s="179"/>
      <c r="E18" s="179"/>
      <c r="F18" s="182"/>
      <c r="G18" s="187" t="str">
        <f>IF($D18="","",IF(E18="Cohesive",LOOKUP($F18,Lookups!$K$15:$K$28,Lookups!A$15:A$28),LOOKUP($F18,Lookups!$K$33:$K$43,Lookups!A$33:A$43)))</f>
        <v/>
      </c>
      <c r="H18" s="197" t="str">
        <f t="shared" si="5"/>
        <v/>
      </c>
      <c r="I18" s="200" t="str">
        <f t="shared" si="6"/>
        <v/>
      </c>
      <c r="J18" s="204" t="str">
        <f t="shared" si="7"/>
        <v/>
      </c>
      <c r="K18" s="186" t="str">
        <f>IF($D18="","",IF(E18="Cohesive",LOOKUP($F18,Lookups!$K$15:$K$28,Lookups!R$15:R$28),LOOKUP($F18,Lookups!$K$33:$K$43,Lookups!R$33:R$43)))</f>
        <v/>
      </c>
      <c r="L18" s="187" t="str">
        <f>IF($D18="","",IF(E18="Cohesive",LOOKUP($F18,Lookups!$K$15:$K$28,Lookups!S$15:S$28)+LOOKUP(D18,Lookups!$AA$23:$AA$29,Lookups!$AC$23:$AC$29),LOOKUP($F18,Lookups!$K$33:$K$43,Lookups!S$33:S$43)+LOOKUP(D18,Lookups!$AA$15:$AA$24,Lookups!$AB$15:$AB$24)))</f>
        <v/>
      </c>
      <c r="M18" s="183" t="str">
        <f>IF($D18="","",IF(E18="Cohesive",LOOKUP($F18,Lookups!$K$15:$K$28,Lookups!T$15:T$28)+LOOKUP(D18,Lookups!$AA$23:$AA$29,Lookups!$AD$23:$AD$29),L18))</f>
        <v/>
      </c>
      <c r="N18" s="186" t="str">
        <f>IF($D18="","",IF(E18="Cohesive",LOOKUP($F18,Lookups!$K$15:$K$28,Lookups!U$15:U$28),LOOKUP($F18,Lookups!$K$33:$K$43,Lookups!U$33:U$43)))</f>
        <v/>
      </c>
      <c r="O18" s="180" t="str">
        <f>IF($D18="","",IF(E18="Cohesive",LOOKUP($F18,Lookups!$K$15:$K$28,Lookups!V$15:V$28),LOOKUP($F18,Lookups!$K$33:$K$43,Lookups!V$33:V$43)))</f>
        <v/>
      </c>
      <c r="P18" s="187" t="str">
        <f>IF($D18="","",IF(E18="Cohesive",LOOKUP($F18,Lookups!$K$15:$K$28,Lookups!W$15:W$28),LOOKUP($F18,Lookups!$K$33:$K$43,Lookups!W$33:W$43)))</f>
        <v/>
      </c>
      <c r="Q18" s="183" t="str">
        <f t="shared" si="8"/>
        <v/>
      </c>
    </row>
    <row r="19" spans="1:17" x14ac:dyDescent="0.2">
      <c r="A19" s="14"/>
      <c r="B19" s="180" t="str">
        <f t="shared" si="4"/>
        <v/>
      </c>
      <c r="C19" s="179"/>
      <c r="D19" s="179"/>
      <c r="E19" s="179"/>
      <c r="F19" s="182"/>
      <c r="G19" s="187" t="str">
        <f>IF($D19="","",IF(E19="Cohesive",LOOKUP($F19,Lookups!$K$15:$K$28,Lookups!A$15:A$28),LOOKUP($F19,Lookups!$K$33:$K$43,Lookups!A$33:A$43)))</f>
        <v/>
      </c>
      <c r="H19" s="197" t="str">
        <f t="shared" si="5"/>
        <v/>
      </c>
      <c r="I19" s="200" t="str">
        <f t="shared" si="6"/>
        <v/>
      </c>
      <c r="J19" s="204" t="str">
        <f t="shared" si="7"/>
        <v/>
      </c>
      <c r="K19" s="186" t="str">
        <f>IF($D19="","",IF(E19="Cohesive",LOOKUP($F19,Lookups!$K$15:$K$28,Lookups!R$15:R$28),LOOKUP($F19,Lookups!$K$33:$K$43,Lookups!R$33:R$43)))</f>
        <v/>
      </c>
      <c r="L19" s="187" t="str">
        <f>IF($D19="","",IF(E19="Cohesive",LOOKUP($F19,Lookups!$K$15:$K$28,Lookups!S$15:S$28)+LOOKUP(D19,Lookups!$AA$23:$AA$29,Lookups!$AC$23:$AC$29),LOOKUP($F19,Lookups!$K$33:$K$43,Lookups!S$33:S$43)+LOOKUP(D19,Lookups!$AA$15:$AA$24,Lookups!$AB$15:$AB$24)))</f>
        <v/>
      </c>
      <c r="M19" s="183" t="str">
        <f>IF($D19="","",IF(E19="Cohesive",LOOKUP($F19,Lookups!$K$15:$K$28,Lookups!T$15:T$28)+LOOKUP(D19,Lookups!$AA$23:$AA$29,Lookups!$AD$23:$AD$29),L19))</f>
        <v/>
      </c>
      <c r="N19" s="186" t="str">
        <f>IF($D19="","",IF(E19="Cohesive",LOOKUP($F19,Lookups!$K$15:$K$28,Lookups!U$15:U$28),LOOKUP($F19,Lookups!$K$33:$K$43,Lookups!U$33:U$43)))</f>
        <v/>
      </c>
      <c r="O19" s="180" t="str">
        <f>IF($D19="","",IF(E19="Cohesive",LOOKUP($F19,Lookups!$K$15:$K$28,Lookups!V$15:V$28),LOOKUP($F19,Lookups!$K$33:$K$43,Lookups!V$33:V$43)))</f>
        <v/>
      </c>
      <c r="P19" s="187" t="str">
        <f>IF($D19="","",IF(E19="Cohesive",LOOKUP($F19,Lookups!$K$15:$K$28,Lookups!W$15:W$28),LOOKUP($F19,Lookups!$K$33:$K$43,Lookups!W$33:W$43)))</f>
        <v/>
      </c>
      <c r="Q19" s="183" t="str">
        <f t="shared" si="8"/>
        <v/>
      </c>
    </row>
    <row r="20" spans="1:17" x14ac:dyDescent="0.2">
      <c r="A20" s="14"/>
      <c r="B20" s="180" t="str">
        <f t="shared" si="4"/>
        <v/>
      </c>
      <c r="C20" s="179"/>
      <c r="D20" s="179"/>
      <c r="E20" s="179"/>
      <c r="F20" s="182"/>
      <c r="G20" s="187" t="str">
        <f>IF($D20="","",IF(E20="Cohesive",LOOKUP($F20,Lookups!$K$15:$K$28,Lookups!A$15:A$28),LOOKUP($F20,Lookups!$K$33:$K$43,Lookups!A$33:A$43)))</f>
        <v/>
      </c>
      <c r="H20" s="197" t="str">
        <f t="shared" si="5"/>
        <v/>
      </c>
      <c r="I20" s="200" t="str">
        <f t="shared" si="6"/>
        <v/>
      </c>
      <c r="J20" s="204" t="str">
        <f t="shared" si="7"/>
        <v/>
      </c>
      <c r="K20" s="186" t="str">
        <f>IF($D20="","",IF(E20="Cohesive",LOOKUP($F20,Lookups!$K$15:$K$28,Lookups!R$15:R$28),LOOKUP($F20,Lookups!$K$33:$K$43,Lookups!R$33:R$43)))</f>
        <v/>
      </c>
      <c r="L20" s="187" t="str">
        <f>IF($D20="","",IF(E20="Cohesive",LOOKUP($F20,Lookups!$K$15:$K$28,Lookups!S$15:S$28)+LOOKUP(D20,Lookups!$AA$23:$AA$29,Lookups!$AC$23:$AC$29),LOOKUP($F20,Lookups!$K$33:$K$43,Lookups!S$33:S$43)+LOOKUP(D20,Lookups!$AA$15:$AA$24,Lookups!$AB$15:$AB$24)))</f>
        <v/>
      </c>
      <c r="M20" s="183" t="str">
        <f>IF($D20="","",IF(E20="Cohesive",LOOKUP($F20,Lookups!$K$15:$K$28,Lookups!T$15:T$28)+LOOKUP(D20,Lookups!$AA$23:$AA$29,Lookups!$AD$23:$AD$29),L20))</f>
        <v/>
      </c>
      <c r="N20" s="186" t="str">
        <f>IF($D20="","",IF(E20="Cohesive",LOOKUP($F20,Lookups!$K$15:$K$28,Lookups!U$15:U$28),LOOKUP($F20,Lookups!$K$33:$K$43,Lookups!U$33:U$43)))</f>
        <v/>
      </c>
      <c r="O20" s="180" t="str">
        <f>IF($D20="","",IF(E20="Cohesive",LOOKUP($F20,Lookups!$K$15:$K$28,Lookups!V$15:V$28),LOOKUP($F20,Lookups!$K$33:$K$43,Lookups!V$33:V$43)))</f>
        <v/>
      </c>
      <c r="P20" s="187" t="str">
        <f>IF($D20="","",IF(E20="Cohesive",LOOKUP($F20,Lookups!$K$15:$K$28,Lookups!W$15:W$28),LOOKUP($F20,Lookups!$K$33:$K$43,Lookups!W$33:W$43)))</f>
        <v/>
      </c>
      <c r="Q20" s="183" t="str">
        <f t="shared" si="8"/>
        <v/>
      </c>
    </row>
    <row r="21" spans="1:17" x14ac:dyDescent="0.2">
      <c r="A21" s="14"/>
      <c r="B21" s="180" t="str">
        <f t="shared" si="4"/>
        <v/>
      </c>
      <c r="C21" s="179"/>
      <c r="D21" s="179"/>
      <c r="E21" s="179"/>
      <c r="F21" s="182"/>
      <c r="G21" s="187" t="str">
        <f>IF($D21="","",IF(E21="Cohesive",LOOKUP($F21,Lookups!$K$15:$K$28,Lookups!A$15:A$28),LOOKUP($F21,Lookups!$K$33:$K$43,Lookups!A$33:A$43)))</f>
        <v/>
      </c>
      <c r="H21" s="197" t="str">
        <f t="shared" si="5"/>
        <v/>
      </c>
      <c r="I21" s="200" t="str">
        <f t="shared" si="6"/>
        <v/>
      </c>
      <c r="J21" s="204" t="str">
        <f t="shared" si="7"/>
        <v/>
      </c>
      <c r="K21" s="186" t="str">
        <f>IF($D21="","",IF(E21="Cohesive",LOOKUP($F21,Lookups!$K$15:$K$28,Lookups!R$15:R$28),LOOKUP($F21,Lookups!$K$33:$K$43,Lookups!R$33:R$43)))</f>
        <v/>
      </c>
      <c r="L21" s="187" t="str">
        <f>IF($D21="","",IF(E21="Cohesive",LOOKUP($F21,Lookups!$K$15:$K$28,Lookups!S$15:S$28)+LOOKUP(D21,Lookups!$AA$23:$AA$29,Lookups!$AC$23:$AC$29),LOOKUP($F21,Lookups!$K$33:$K$43,Lookups!S$33:S$43)+LOOKUP(D21,Lookups!$AA$15:$AA$24,Lookups!$AB$15:$AB$24)))</f>
        <v/>
      </c>
      <c r="M21" s="183" t="str">
        <f>IF($D21="","",IF(E21="Cohesive",LOOKUP($F21,Lookups!$K$15:$K$28,Lookups!T$15:T$28)+LOOKUP(D21,Lookups!$AA$23:$AA$29,Lookups!$AD$23:$AD$29),L21))</f>
        <v/>
      </c>
      <c r="N21" s="186" t="str">
        <f>IF($D21="","",IF(E21="Cohesive",LOOKUP($F21,Lookups!$K$15:$K$28,Lookups!U$15:U$28),LOOKUP($F21,Lookups!$K$33:$K$43,Lookups!U$33:U$43)))</f>
        <v/>
      </c>
      <c r="O21" s="180" t="str">
        <f>IF($D21="","",IF(E21="Cohesive",LOOKUP($F21,Lookups!$K$15:$K$28,Lookups!V$15:V$28),LOOKUP($F21,Lookups!$K$33:$K$43,Lookups!V$33:V$43)))</f>
        <v/>
      </c>
      <c r="P21" s="187" t="str">
        <f>IF($D21="","",IF(E21="Cohesive",LOOKUP($F21,Lookups!$K$15:$K$28,Lookups!W$15:W$28),LOOKUP($F21,Lookups!$K$33:$K$43,Lookups!W$33:W$43)))</f>
        <v/>
      </c>
      <c r="Q21" s="183" t="str">
        <f t="shared" si="8"/>
        <v/>
      </c>
    </row>
    <row r="22" spans="1:17" ht="13.5" thickBot="1" x14ac:dyDescent="0.25">
      <c r="A22" s="15"/>
      <c r="B22" s="190" t="str">
        <f t="shared" si="4"/>
        <v/>
      </c>
      <c r="C22" s="133"/>
      <c r="D22" s="133"/>
      <c r="E22" s="133"/>
      <c r="F22" s="191"/>
      <c r="G22" s="192" t="str">
        <f>IF($D22="","",IF(E22="Cohesive",LOOKUP($F22,Lookups!$K$15:$K$28,Lookups!A$15:A$28),LOOKUP($F22,Lookups!$K$33:$K$43,Lookups!A$33:A$43)))</f>
        <v/>
      </c>
      <c r="H22" s="206" t="str">
        <f t="shared" si="5"/>
        <v/>
      </c>
      <c r="I22" s="207" t="str">
        <f t="shared" si="6"/>
        <v/>
      </c>
      <c r="J22" s="208" t="str">
        <f t="shared" si="7"/>
        <v/>
      </c>
      <c r="K22" s="209" t="str">
        <f>IF($D22="","",IF(E22="Cohesive",LOOKUP($F22,Lookups!$K$15:$K$28,Lookups!R$15:R$28),LOOKUP($F22,Lookups!$K$33:$K$43,Lookups!R$33:R$43)))</f>
        <v/>
      </c>
      <c r="L22" s="192" t="str">
        <f>IF($D22="","",IF(E22="Cohesive",LOOKUP($F22,Lookups!$K$15:$K$28,Lookups!S$15:S$28)+LOOKUP(D22,Lookups!$AA$23:$AA$29,Lookups!$AC$23:$AC$29),LOOKUP($F22,Lookups!$K$33:$K$43,Lookups!S$33:S$43)+LOOKUP(D22,Lookups!$AA$15:$AA$24,Lookups!$AB$15:$AB$24)))</f>
        <v/>
      </c>
      <c r="M22" s="184" t="str">
        <f>IF($D22="","",IF(E22="Cohesive",LOOKUP($F22,Lookups!$K$15:$K$28,Lookups!T$15:T$28)+LOOKUP(D22,Lookups!$AA$23:$AA$29,Lookups!$AD$23:$AD$29),L22))</f>
        <v/>
      </c>
      <c r="N22" s="209" t="str">
        <f>IF($D22="","",IF(E22="Cohesive",LOOKUP($F22,Lookups!$K$15:$K$28,Lookups!U$15:U$28),LOOKUP($F22,Lookups!$K$33:$K$43,Lookups!U$33:U$43)))</f>
        <v/>
      </c>
      <c r="O22" s="190" t="str">
        <f>IF($D22="","",IF(E22="Cohesive",LOOKUP($F22,Lookups!$K$15:$K$28,Lookups!V$15:V$28),LOOKUP($F22,Lookups!$K$33:$K$43,Lookups!V$33:V$43)))</f>
        <v/>
      </c>
      <c r="P22" s="192" t="str">
        <f>IF($D22="","",IF(E22="Cohesive",LOOKUP($F22,Lookups!$K$15:$K$28,Lookups!W$15:W$28),LOOKUP($F22,Lookups!$K$33:$K$43,Lookups!W$33:W$43)))</f>
        <v/>
      </c>
      <c r="Q22" s="184" t="str">
        <f t="shared" si="8"/>
        <v/>
      </c>
    </row>
  </sheetData>
  <mergeCells count="6">
    <mergeCell ref="B7:C7"/>
    <mergeCell ref="K4:L4"/>
    <mergeCell ref="N4:Q4"/>
    <mergeCell ref="H4:I4"/>
    <mergeCell ref="B1:D1"/>
    <mergeCell ref="B2:D2"/>
  </mergeCells>
  <phoneticPr fontId="0" type="noConversion"/>
  <pageMargins left="0.5" right="0.5" top="1" bottom="1" header="0.5" footer="0.5"/>
  <pageSetup scale="94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Lookups!$AA$15:$AA$29</xm:f>
          </x14:formula1>
          <xm:sqref>D7:D22</xm:sqref>
        </x14:dataValidation>
        <x14:dataValidation type="list" allowBlank="1" showInputMessage="1" showErrorMessage="1" xr:uid="{00000000-0002-0000-0000-000001000000}">
          <x14:formula1>
            <xm:f>Lookups!$AB$11:$AC$11</xm:f>
          </x14:formula1>
          <xm:sqref>E7:E22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43"/>
  <sheetViews>
    <sheetView workbookViewId="0">
      <selection activeCell="S13" sqref="S13"/>
    </sheetView>
  </sheetViews>
  <sheetFormatPr defaultRowHeight="12.75" x14ac:dyDescent="0.2"/>
  <cols>
    <col min="1" max="1" width="11.7109375" bestFit="1" customWidth="1"/>
    <col min="2" max="2" width="6" customWidth="1"/>
    <col min="3" max="3" width="2.140625" customWidth="1"/>
    <col min="4" max="4" width="6" customWidth="1"/>
    <col min="5" max="5" width="6.28515625" customWidth="1"/>
    <col min="6" max="6" width="2.140625" customWidth="1"/>
    <col min="7" max="8" width="6.28515625" customWidth="1"/>
    <col min="9" max="9" width="2.140625" customWidth="1"/>
    <col min="10" max="10" width="6.28515625" customWidth="1"/>
    <col min="11" max="11" width="4.140625" customWidth="1"/>
    <col min="12" max="12" width="2.140625" customWidth="1"/>
    <col min="13" max="13" width="4.140625" customWidth="1"/>
    <col min="14" max="16" width="9.140625" style="1"/>
    <col min="17" max="17" width="10.42578125" style="1" bestFit="1" customWidth="1"/>
    <col min="20" max="20" width="9.140625" style="1"/>
  </cols>
  <sheetData>
    <row r="1" spans="1:30" ht="13.5" thickBot="1" x14ac:dyDescent="0.25"/>
    <row r="2" spans="1:30" ht="13.5" thickBot="1" x14ac:dyDescent="0.25">
      <c r="O2" s="214" t="s">
        <v>159</v>
      </c>
      <c r="P2" s="216"/>
      <c r="Q2" s="132" t="s">
        <v>125</v>
      </c>
      <c r="R2" s="212" t="s">
        <v>124</v>
      </c>
      <c r="S2" s="213"/>
      <c r="T2" s="132" t="s">
        <v>126</v>
      </c>
      <c r="U2" s="214" t="s">
        <v>127</v>
      </c>
      <c r="V2" s="215"/>
      <c r="W2" s="215"/>
      <c r="X2" s="216"/>
    </row>
    <row r="3" spans="1:30" ht="14.25" x14ac:dyDescent="0.25">
      <c r="E3" s="93" t="s">
        <v>137</v>
      </c>
      <c r="H3" s="134"/>
      <c r="I3" s="12" t="s">
        <v>128</v>
      </c>
      <c r="J3" s="13"/>
      <c r="K3" s="97"/>
      <c r="L3" s="12" t="s">
        <v>114</v>
      </c>
      <c r="M3" s="13"/>
      <c r="N3" s="12" t="s">
        <v>96</v>
      </c>
      <c r="O3" s="97" t="s">
        <v>107</v>
      </c>
      <c r="P3" s="13" t="s">
        <v>107</v>
      </c>
      <c r="Q3" s="121" t="s">
        <v>99</v>
      </c>
      <c r="R3" s="97" t="s">
        <v>97</v>
      </c>
      <c r="S3" s="98" t="s">
        <v>98</v>
      </c>
      <c r="T3" s="124" t="s">
        <v>106</v>
      </c>
      <c r="U3" s="92" t="s">
        <v>101</v>
      </c>
      <c r="V3" s="92" t="s">
        <v>102</v>
      </c>
      <c r="W3" s="98" t="s">
        <v>157</v>
      </c>
      <c r="X3" s="98" t="s">
        <v>156</v>
      </c>
    </row>
    <row r="4" spans="1:30" x14ac:dyDescent="0.2">
      <c r="H4" s="135"/>
      <c r="I4" s="116" t="s">
        <v>11</v>
      </c>
      <c r="J4" s="117"/>
      <c r="K4" s="118"/>
      <c r="L4" s="116" t="s">
        <v>115</v>
      </c>
      <c r="M4" s="117"/>
      <c r="N4" s="116" t="s">
        <v>111</v>
      </c>
      <c r="O4" s="118" t="s">
        <v>2</v>
      </c>
      <c r="P4" s="117" t="s">
        <v>3</v>
      </c>
      <c r="Q4" s="122" t="s">
        <v>3</v>
      </c>
      <c r="R4" s="118" t="s">
        <v>3</v>
      </c>
      <c r="S4" s="120" t="s">
        <v>108</v>
      </c>
      <c r="T4" s="125" t="s">
        <v>108</v>
      </c>
      <c r="U4" s="119" t="s">
        <v>109</v>
      </c>
      <c r="V4" s="119" t="s">
        <v>109</v>
      </c>
      <c r="W4" s="120" t="s">
        <v>109</v>
      </c>
      <c r="X4" s="120" t="s">
        <v>109</v>
      </c>
    </row>
    <row r="5" spans="1:30" ht="13.5" thickBot="1" x14ac:dyDescent="0.25">
      <c r="H5" s="220" t="str">
        <f>LOOKUP(N5,K15:K28,A15:A28)</f>
        <v>Stiff-V.Stiff</v>
      </c>
      <c r="I5" s="221"/>
      <c r="J5" s="222"/>
      <c r="K5" s="223" t="s">
        <v>120</v>
      </c>
      <c r="L5" s="224"/>
      <c r="M5" s="225"/>
      <c r="N5" s="133">
        <v>16</v>
      </c>
      <c r="O5" s="15">
        <f>N5*0.125</f>
        <v>2</v>
      </c>
      <c r="P5" s="6">
        <f>N5*250</f>
        <v>4000</v>
      </c>
      <c r="Q5" s="123">
        <f>N5*125</f>
        <v>2000</v>
      </c>
      <c r="R5" s="15">
        <f>LOOKUP(N5,K15:K28,R15:R28)</f>
        <v>200</v>
      </c>
      <c r="S5" s="6">
        <f>LOOKUP(N5,K15:K28,S15:S28)+LOOKUP(K5,AA23:AA29,AC23:AC29)</f>
        <v>24</v>
      </c>
      <c r="T5" s="123">
        <f>LOOKUP(N5,K15:K28,T15:T28)+LOOKUP(K5,AA23:AA29,AD23:AD29)</f>
        <v>34</v>
      </c>
      <c r="U5" s="5">
        <f>LOOKUP(N5,K15:K28,U15:U28)</f>
        <v>102</v>
      </c>
      <c r="V5" s="5">
        <f>LOOKUP(N5,K15:K28,V15:V28)</f>
        <v>112</v>
      </c>
      <c r="W5" s="6">
        <f>LOOKUP(N5,K15:K28,W15:W28)</f>
        <v>122</v>
      </c>
      <c r="X5" s="6">
        <f>W5-62.4</f>
        <v>59.6</v>
      </c>
    </row>
    <row r="6" spans="1:30" ht="13.5" thickBot="1" x14ac:dyDescent="0.25"/>
    <row r="7" spans="1:30" ht="13.5" thickBot="1" x14ac:dyDescent="0.25">
      <c r="O7" s="214" t="s">
        <v>159</v>
      </c>
      <c r="P7" s="216"/>
      <c r="Q7" s="132" t="s">
        <v>125</v>
      </c>
      <c r="R7" s="212" t="s">
        <v>124</v>
      </c>
      <c r="S7" s="213"/>
      <c r="T7" s="132" t="s">
        <v>126</v>
      </c>
      <c r="U7" s="214" t="s">
        <v>127</v>
      </c>
      <c r="V7" s="215"/>
      <c r="W7" s="215"/>
      <c r="X7" s="216"/>
    </row>
    <row r="8" spans="1:30" ht="14.25" x14ac:dyDescent="0.25">
      <c r="E8" s="93" t="s">
        <v>138</v>
      </c>
      <c r="H8" s="134"/>
      <c r="I8" s="12" t="s">
        <v>128</v>
      </c>
      <c r="J8" s="13"/>
      <c r="K8" s="97"/>
      <c r="L8" s="12" t="s">
        <v>114</v>
      </c>
      <c r="M8" s="13"/>
      <c r="N8" s="12" t="s">
        <v>96</v>
      </c>
      <c r="O8" s="97" t="s">
        <v>107</v>
      </c>
      <c r="P8" s="13" t="s">
        <v>107</v>
      </c>
      <c r="Q8" s="121" t="s">
        <v>99</v>
      </c>
      <c r="R8" s="97" t="s">
        <v>97</v>
      </c>
      <c r="S8" s="98" t="s">
        <v>98</v>
      </c>
      <c r="T8" s="124" t="s">
        <v>106</v>
      </c>
      <c r="U8" s="92" t="s">
        <v>101</v>
      </c>
      <c r="V8" s="92" t="s">
        <v>102</v>
      </c>
      <c r="W8" s="98" t="s">
        <v>157</v>
      </c>
      <c r="X8" s="98" t="s">
        <v>156</v>
      </c>
    </row>
    <row r="9" spans="1:30" x14ac:dyDescent="0.2">
      <c r="H9" s="135"/>
      <c r="I9" s="116" t="s">
        <v>0</v>
      </c>
      <c r="J9" s="117"/>
      <c r="K9" s="118"/>
      <c r="L9" s="116" t="s">
        <v>115</v>
      </c>
      <c r="M9" s="117"/>
      <c r="N9" s="116" t="s">
        <v>111</v>
      </c>
      <c r="O9" s="118" t="s">
        <v>2</v>
      </c>
      <c r="P9" s="117" t="s">
        <v>3</v>
      </c>
      <c r="Q9" s="122" t="s">
        <v>3</v>
      </c>
      <c r="R9" s="118" t="s">
        <v>3</v>
      </c>
      <c r="S9" s="120" t="s">
        <v>108</v>
      </c>
      <c r="T9" s="125" t="s">
        <v>108</v>
      </c>
      <c r="U9" s="119" t="s">
        <v>109</v>
      </c>
      <c r="V9" s="119" t="s">
        <v>109</v>
      </c>
      <c r="W9" s="120" t="s">
        <v>109</v>
      </c>
      <c r="X9" s="120" t="s">
        <v>109</v>
      </c>
    </row>
    <row r="10" spans="1:30" ht="13.5" thickBot="1" x14ac:dyDescent="0.25">
      <c r="H10" s="220" t="str">
        <f>LOOKUP(N10,K33:K43,A33:A43)</f>
        <v>M.Dense-Dense</v>
      </c>
      <c r="I10" s="221"/>
      <c r="J10" s="222"/>
      <c r="K10" s="223" t="s">
        <v>130</v>
      </c>
      <c r="L10" s="224"/>
      <c r="M10" s="225"/>
      <c r="N10" s="133">
        <v>33</v>
      </c>
      <c r="O10" s="15">
        <v>0</v>
      </c>
      <c r="P10" s="6">
        <v>0</v>
      </c>
      <c r="Q10" s="123">
        <v>0</v>
      </c>
      <c r="R10" s="15">
        <v>0</v>
      </c>
      <c r="S10" s="6">
        <f>LOOKUP(N10,K33:K43,S33:S43)+LOOKUP(K10,AA15:AA24,AB15:AB24)</f>
        <v>35</v>
      </c>
      <c r="T10" s="123">
        <f>S10</f>
        <v>35</v>
      </c>
      <c r="U10" s="5">
        <f>LOOKUP(N10,K33:K43,U33:U43)</f>
        <v>108</v>
      </c>
      <c r="V10" s="5">
        <f>LOOKUP(N10,K33:K43,V33:V43)</f>
        <v>118</v>
      </c>
      <c r="W10" s="6">
        <f>LOOKUP(N10,K33:K43,W33:W43)</f>
        <v>128</v>
      </c>
      <c r="X10" s="6">
        <f>W10-62.4</f>
        <v>65.599999999999994</v>
      </c>
    </row>
    <row r="11" spans="1:30" ht="13.5" thickBot="1" x14ac:dyDescent="0.25">
      <c r="AB11" s="93" t="s">
        <v>151</v>
      </c>
      <c r="AC11" s="93" t="s">
        <v>150</v>
      </c>
      <c r="AD11" s="93" t="s">
        <v>126</v>
      </c>
    </row>
    <row r="12" spans="1:30" ht="13.5" thickBot="1" x14ac:dyDescent="0.25">
      <c r="A12" s="7" t="s">
        <v>19</v>
      </c>
      <c r="B12" s="1"/>
      <c r="C12" s="1"/>
      <c r="D12" s="1"/>
      <c r="E12" s="10"/>
      <c r="F12" s="1"/>
      <c r="G12" s="1"/>
      <c r="H12" s="1"/>
      <c r="I12" s="1"/>
      <c r="J12" s="1"/>
      <c r="K12" s="1"/>
      <c r="L12" s="1"/>
      <c r="M12" s="1"/>
      <c r="N12" s="35" t="s">
        <v>113</v>
      </c>
      <c r="O12" s="67"/>
      <c r="P12" s="67"/>
      <c r="Q12" s="132" t="s">
        <v>125</v>
      </c>
      <c r="R12" s="212" t="s">
        <v>124</v>
      </c>
      <c r="S12" s="213"/>
      <c r="T12" s="132" t="s">
        <v>126</v>
      </c>
      <c r="U12" s="67"/>
      <c r="V12" s="18" t="s">
        <v>127</v>
      </c>
      <c r="W12" s="112"/>
      <c r="AB12" s="99" t="s">
        <v>98</v>
      </c>
      <c r="AC12" s="99" t="s">
        <v>98</v>
      </c>
      <c r="AD12" s="99" t="s">
        <v>98</v>
      </c>
    </row>
    <row r="13" spans="1:30" ht="14.25" x14ac:dyDescent="0.25">
      <c r="A13" s="136"/>
      <c r="B13" s="97"/>
      <c r="C13" s="12"/>
      <c r="D13" s="13"/>
      <c r="E13" s="106" t="s">
        <v>44</v>
      </c>
      <c r="F13" s="12"/>
      <c r="G13" s="32"/>
      <c r="H13" s="33"/>
      <c r="I13" s="12"/>
      <c r="J13" s="13"/>
      <c r="K13" s="114"/>
      <c r="L13" s="12" t="s">
        <v>112</v>
      </c>
      <c r="M13" s="13"/>
      <c r="N13" s="88" t="s">
        <v>96</v>
      </c>
      <c r="O13" s="89" t="s">
        <v>107</v>
      </c>
      <c r="P13" s="89" t="s">
        <v>107</v>
      </c>
      <c r="Q13" s="126" t="s">
        <v>99</v>
      </c>
      <c r="R13" s="88" t="s">
        <v>97</v>
      </c>
      <c r="S13" s="99" t="s">
        <v>98</v>
      </c>
      <c r="T13" s="130" t="s">
        <v>106</v>
      </c>
      <c r="U13" s="96" t="s">
        <v>101</v>
      </c>
      <c r="V13" s="96" t="s">
        <v>102</v>
      </c>
      <c r="W13" s="99" t="s">
        <v>103</v>
      </c>
      <c r="AB13" s="93" t="s">
        <v>153</v>
      </c>
      <c r="AC13" s="93" t="s">
        <v>153</v>
      </c>
      <c r="AD13" s="93" t="s">
        <v>153</v>
      </c>
    </row>
    <row r="14" spans="1:30" x14ac:dyDescent="0.2">
      <c r="A14" s="137" t="s">
        <v>11</v>
      </c>
      <c r="B14" s="118"/>
      <c r="C14" s="116" t="s">
        <v>1</v>
      </c>
      <c r="D14" s="117"/>
      <c r="E14" s="14"/>
      <c r="F14" s="89" t="s">
        <v>2</v>
      </c>
      <c r="G14" s="29"/>
      <c r="H14" s="91"/>
      <c r="I14" s="89" t="s">
        <v>3</v>
      </c>
      <c r="J14" s="90"/>
      <c r="K14" s="115"/>
      <c r="L14" s="116" t="s">
        <v>111</v>
      </c>
      <c r="M14" s="117"/>
      <c r="N14" s="88" t="s">
        <v>111</v>
      </c>
      <c r="O14" s="89" t="s">
        <v>2</v>
      </c>
      <c r="P14" s="89" t="s">
        <v>3</v>
      </c>
      <c r="Q14" s="126" t="s">
        <v>3</v>
      </c>
      <c r="R14" s="88" t="s">
        <v>3</v>
      </c>
      <c r="S14" s="99" t="s">
        <v>108</v>
      </c>
      <c r="T14" s="130" t="s">
        <v>108</v>
      </c>
      <c r="U14" s="96" t="s">
        <v>109</v>
      </c>
      <c r="V14" s="96" t="s">
        <v>109</v>
      </c>
      <c r="W14" s="99" t="s">
        <v>109</v>
      </c>
      <c r="AB14" s="93" t="s">
        <v>152</v>
      </c>
      <c r="AC14" s="93" t="s">
        <v>152</v>
      </c>
      <c r="AD14" s="93" t="s">
        <v>152</v>
      </c>
    </row>
    <row r="15" spans="1:30" x14ac:dyDescent="0.2">
      <c r="A15" s="94" t="s">
        <v>100</v>
      </c>
      <c r="B15" s="21"/>
      <c r="C15" s="22"/>
      <c r="D15" s="23"/>
      <c r="E15" s="21"/>
      <c r="F15" s="22"/>
      <c r="G15" s="28"/>
      <c r="H15" s="24"/>
      <c r="I15" s="22"/>
      <c r="J15" s="23"/>
      <c r="K15" s="22">
        <v>0</v>
      </c>
      <c r="L15" s="113" t="s">
        <v>5</v>
      </c>
      <c r="M15" s="22">
        <v>0</v>
      </c>
      <c r="N15" s="21">
        <v>0</v>
      </c>
      <c r="O15" s="22">
        <v>0</v>
      </c>
      <c r="P15" s="22">
        <v>0</v>
      </c>
      <c r="Q15" s="127">
        <f>P15/2</f>
        <v>0</v>
      </c>
      <c r="R15" s="21">
        <v>0</v>
      </c>
      <c r="S15" s="23">
        <v>12</v>
      </c>
      <c r="T15" s="127">
        <v>12</v>
      </c>
      <c r="U15" s="22">
        <v>80</v>
      </c>
      <c r="V15" s="22">
        <v>90</v>
      </c>
      <c r="W15" s="23">
        <v>100</v>
      </c>
      <c r="AA15" s="93" t="s">
        <v>129</v>
      </c>
      <c r="AB15">
        <v>2</v>
      </c>
      <c r="AC15" s="178">
        <f>AB15+1</f>
        <v>3</v>
      </c>
      <c r="AD15" s="178">
        <f>AB15+2</f>
        <v>4</v>
      </c>
    </row>
    <row r="16" spans="1:30" x14ac:dyDescent="0.2">
      <c r="A16" s="26" t="s">
        <v>12</v>
      </c>
      <c r="B16" s="14"/>
      <c r="C16" s="1" t="s">
        <v>13</v>
      </c>
      <c r="D16" s="3">
        <v>2</v>
      </c>
      <c r="E16" s="14"/>
      <c r="F16" s="1" t="s">
        <v>13</v>
      </c>
      <c r="G16" s="29">
        <v>0.25</v>
      </c>
      <c r="H16" s="25"/>
      <c r="I16" s="1" t="s">
        <v>13</v>
      </c>
      <c r="J16" s="3">
        <f t="shared" ref="J16:J26" si="0">G16*2000</f>
        <v>500</v>
      </c>
      <c r="K16" s="1">
        <v>1</v>
      </c>
      <c r="L16" s="109" t="s">
        <v>5</v>
      </c>
      <c r="M16" s="1">
        <v>1</v>
      </c>
      <c r="N16" s="14">
        <f t="shared" ref="N16:N21" si="1">P16/250</f>
        <v>1</v>
      </c>
      <c r="O16" s="1">
        <f t="shared" ref="O16:O19" si="2">P16/2000</f>
        <v>0.125</v>
      </c>
      <c r="P16" s="1">
        <v>250</v>
      </c>
      <c r="Q16" s="128">
        <f t="shared" ref="Q16:Q24" si="3">P16/2</f>
        <v>125</v>
      </c>
      <c r="R16" s="14">
        <v>10</v>
      </c>
      <c r="S16" s="3">
        <v>16</v>
      </c>
      <c r="T16" s="128">
        <v>18</v>
      </c>
      <c r="U16" s="1">
        <v>85</v>
      </c>
      <c r="V16" s="1">
        <v>95</v>
      </c>
      <c r="W16" s="3">
        <v>105</v>
      </c>
      <c r="AA16" s="93" t="s">
        <v>130</v>
      </c>
      <c r="AB16">
        <v>1</v>
      </c>
      <c r="AC16" s="178">
        <f t="shared" ref="AC16:AC22" si="4">AB16+1</f>
        <v>2</v>
      </c>
      <c r="AD16" s="178">
        <f t="shared" ref="AD16:AD22" si="5">AB16+2</f>
        <v>3</v>
      </c>
    </row>
    <row r="17" spans="1:30" x14ac:dyDescent="0.2">
      <c r="A17" s="26" t="s">
        <v>91</v>
      </c>
      <c r="B17" s="14"/>
      <c r="C17" s="1"/>
      <c r="D17" s="3"/>
      <c r="E17" s="14"/>
      <c r="F17" s="1"/>
      <c r="G17" s="29"/>
      <c r="H17" s="25"/>
      <c r="I17" s="1"/>
      <c r="J17" s="3"/>
      <c r="K17" s="1">
        <v>2</v>
      </c>
      <c r="L17" s="109" t="s">
        <v>5</v>
      </c>
      <c r="M17" s="1">
        <v>2</v>
      </c>
      <c r="N17" s="14">
        <f t="shared" si="1"/>
        <v>2</v>
      </c>
      <c r="O17" s="1">
        <f t="shared" si="2"/>
        <v>0.25</v>
      </c>
      <c r="P17" s="1">
        <v>500</v>
      </c>
      <c r="Q17" s="128">
        <f t="shared" si="3"/>
        <v>250</v>
      </c>
      <c r="R17" s="14">
        <v>25</v>
      </c>
      <c r="S17" s="3">
        <v>18</v>
      </c>
      <c r="T17" s="128">
        <v>22</v>
      </c>
      <c r="U17" s="1">
        <v>88</v>
      </c>
      <c r="V17" s="1">
        <v>98</v>
      </c>
      <c r="W17" s="3">
        <v>108</v>
      </c>
      <c r="AA17" s="93" t="s">
        <v>133</v>
      </c>
      <c r="AB17">
        <v>-1</v>
      </c>
      <c r="AC17" s="178">
        <f t="shared" si="4"/>
        <v>0</v>
      </c>
      <c r="AD17" s="178">
        <f t="shared" si="5"/>
        <v>1</v>
      </c>
    </row>
    <row r="18" spans="1:30" x14ac:dyDescent="0.2">
      <c r="A18" s="26" t="s">
        <v>14</v>
      </c>
      <c r="B18" s="14">
        <v>2</v>
      </c>
      <c r="C18" s="1" t="s">
        <v>5</v>
      </c>
      <c r="D18" s="3">
        <v>4</v>
      </c>
      <c r="E18" s="14">
        <v>0.25</v>
      </c>
      <c r="F18" s="1" t="s">
        <v>5</v>
      </c>
      <c r="G18" s="29">
        <v>0.5</v>
      </c>
      <c r="H18" s="25">
        <f>E18*2000</f>
        <v>500</v>
      </c>
      <c r="I18" s="1" t="s">
        <v>5</v>
      </c>
      <c r="J18" s="3">
        <f t="shared" si="0"/>
        <v>1000</v>
      </c>
      <c r="K18" s="1">
        <v>3</v>
      </c>
      <c r="L18" s="109" t="s">
        <v>5</v>
      </c>
      <c r="M18" s="1">
        <v>3</v>
      </c>
      <c r="N18" s="14">
        <f t="shared" si="1"/>
        <v>3</v>
      </c>
      <c r="O18" s="1">
        <f t="shared" si="2"/>
        <v>0.375</v>
      </c>
      <c r="P18" s="1">
        <v>750</v>
      </c>
      <c r="Q18" s="128">
        <f t="shared" si="3"/>
        <v>375</v>
      </c>
      <c r="R18" s="14">
        <v>35</v>
      </c>
      <c r="S18" s="3">
        <v>19</v>
      </c>
      <c r="T18" s="128">
        <v>24</v>
      </c>
      <c r="U18" s="1">
        <v>90</v>
      </c>
      <c r="V18" s="1">
        <v>100</v>
      </c>
      <c r="W18" s="3">
        <v>110</v>
      </c>
      <c r="AA18" s="93" t="s">
        <v>135</v>
      </c>
      <c r="AB18">
        <v>-2</v>
      </c>
      <c r="AC18" s="178">
        <f t="shared" si="4"/>
        <v>-1</v>
      </c>
      <c r="AD18" s="178">
        <f t="shared" si="5"/>
        <v>0</v>
      </c>
    </row>
    <row r="19" spans="1:30" x14ac:dyDescent="0.2">
      <c r="A19" s="26" t="s">
        <v>92</v>
      </c>
      <c r="B19" s="14"/>
      <c r="C19" s="1"/>
      <c r="D19" s="3"/>
      <c r="E19" s="14"/>
      <c r="F19" s="1"/>
      <c r="G19" s="29"/>
      <c r="H19" s="25"/>
      <c r="I19" s="1"/>
      <c r="J19" s="3"/>
      <c r="K19" s="1">
        <v>4</v>
      </c>
      <c r="L19" s="109" t="s">
        <v>5</v>
      </c>
      <c r="M19" s="1">
        <v>4</v>
      </c>
      <c r="N19" s="14">
        <f t="shared" si="1"/>
        <v>4</v>
      </c>
      <c r="O19" s="1">
        <f t="shared" si="2"/>
        <v>0.5</v>
      </c>
      <c r="P19" s="1">
        <v>1000</v>
      </c>
      <c r="Q19" s="128">
        <f t="shared" si="3"/>
        <v>500</v>
      </c>
      <c r="R19" s="14">
        <v>50</v>
      </c>
      <c r="S19" s="3">
        <v>20</v>
      </c>
      <c r="T19" s="128">
        <v>26</v>
      </c>
      <c r="U19" s="1">
        <v>92</v>
      </c>
      <c r="V19" s="1">
        <v>102</v>
      </c>
      <c r="W19" s="3">
        <v>112</v>
      </c>
      <c r="AA19" s="93" t="s">
        <v>134</v>
      </c>
      <c r="AB19">
        <v>-2</v>
      </c>
      <c r="AC19" s="178">
        <f t="shared" si="4"/>
        <v>-1</v>
      </c>
      <c r="AD19" s="178">
        <f t="shared" si="5"/>
        <v>0</v>
      </c>
    </row>
    <row r="20" spans="1:30" x14ac:dyDescent="0.2">
      <c r="A20" s="26" t="s">
        <v>15</v>
      </c>
      <c r="B20" s="14">
        <v>4</v>
      </c>
      <c r="C20" s="1" t="s">
        <v>5</v>
      </c>
      <c r="D20" s="3">
        <v>8</v>
      </c>
      <c r="E20" s="14">
        <v>0.5</v>
      </c>
      <c r="F20" s="1" t="s">
        <v>5</v>
      </c>
      <c r="G20" s="29">
        <v>1</v>
      </c>
      <c r="H20" s="25">
        <f>E20*2000</f>
        <v>1000</v>
      </c>
      <c r="I20" s="1" t="s">
        <v>5</v>
      </c>
      <c r="J20" s="3">
        <f t="shared" si="0"/>
        <v>2000</v>
      </c>
      <c r="K20" s="108">
        <v>5</v>
      </c>
      <c r="L20" s="107" t="s">
        <v>5</v>
      </c>
      <c r="M20" s="108">
        <v>6</v>
      </c>
      <c r="N20" s="14">
        <f t="shared" si="1"/>
        <v>6</v>
      </c>
      <c r="O20" s="1">
        <f>P20/2000</f>
        <v>0.75</v>
      </c>
      <c r="P20" s="1">
        <v>1500</v>
      </c>
      <c r="Q20" s="128">
        <f t="shared" si="3"/>
        <v>750</v>
      </c>
      <c r="R20" s="14">
        <v>75</v>
      </c>
      <c r="S20" s="3">
        <v>21</v>
      </c>
      <c r="T20" s="128">
        <v>28</v>
      </c>
      <c r="U20" s="1">
        <v>95</v>
      </c>
      <c r="V20" s="1">
        <v>105</v>
      </c>
      <c r="W20" s="3">
        <v>115</v>
      </c>
      <c r="AA20" s="93" t="s">
        <v>136</v>
      </c>
      <c r="AB20">
        <v>-2</v>
      </c>
      <c r="AC20" s="178">
        <f t="shared" si="4"/>
        <v>-1</v>
      </c>
      <c r="AD20" s="178">
        <f t="shared" si="5"/>
        <v>0</v>
      </c>
    </row>
    <row r="21" spans="1:30" x14ac:dyDescent="0.2">
      <c r="A21" s="26" t="s">
        <v>93</v>
      </c>
      <c r="B21" s="14"/>
      <c r="C21" s="1"/>
      <c r="D21" s="3"/>
      <c r="E21" s="14"/>
      <c r="F21" s="1"/>
      <c r="G21" s="29"/>
      <c r="H21" s="25"/>
      <c r="I21" s="1"/>
      <c r="J21" s="3"/>
      <c r="K21" s="108">
        <v>7</v>
      </c>
      <c r="L21" s="108" t="s">
        <v>5</v>
      </c>
      <c r="M21" s="108">
        <v>9</v>
      </c>
      <c r="N21" s="14">
        <f t="shared" si="1"/>
        <v>8</v>
      </c>
      <c r="O21" s="1">
        <f t="shared" ref="O21:O25" si="6">P21/2000</f>
        <v>1</v>
      </c>
      <c r="P21" s="1">
        <v>2000</v>
      </c>
      <c r="Q21" s="128">
        <f t="shared" si="3"/>
        <v>1000</v>
      </c>
      <c r="R21" s="14">
        <v>100</v>
      </c>
      <c r="S21" s="3">
        <v>22</v>
      </c>
      <c r="T21" s="128">
        <v>30</v>
      </c>
      <c r="U21" s="1">
        <v>98</v>
      </c>
      <c r="V21" s="1">
        <v>108</v>
      </c>
      <c r="W21" s="3">
        <v>118</v>
      </c>
      <c r="AA21" s="93" t="s">
        <v>131</v>
      </c>
      <c r="AB21">
        <v>0</v>
      </c>
      <c r="AC21" s="178">
        <f t="shared" si="4"/>
        <v>1</v>
      </c>
      <c r="AD21" s="178">
        <f t="shared" si="5"/>
        <v>2</v>
      </c>
    </row>
    <row r="22" spans="1:30" x14ac:dyDescent="0.2">
      <c r="A22" s="26" t="s">
        <v>16</v>
      </c>
      <c r="B22" s="14">
        <v>8</v>
      </c>
      <c r="C22" s="1" t="s">
        <v>5</v>
      </c>
      <c r="D22" s="3">
        <v>15</v>
      </c>
      <c r="E22" s="14">
        <v>1</v>
      </c>
      <c r="F22" s="1" t="s">
        <v>5</v>
      </c>
      <c r="G22" s="29">
        <v>2</v>
      </c>
      <c r="H22" s="25">
        <f>E22*2000</f>
        <v>2000</v>
      </c>
      <c r="I22" s="1" t="s">
        <v>5</v>
      </c>
      <c r="J22" s="3">
        <f t="shared" si="0"/>
        <v>4000</v>
      </c>
      <c r="K22" s="108">
        <v>10</v>
      </c>
      <c r="L22" s="108" t="s">
        <v>5</v>
      </c>
      <c r="M22" s="108">
        <v>13</v>
      </c>
      <c r="N22" s="14">
        <f>P22/250</f>
        <v>12</v>
      </c>
      <c r="O22" s="1">
        <f t="shared" si="6"/>
        <v>1.5</v>
      </c>
      <c r="P22" s="1">
        <v>3000</v>
      </c>
      <c r="Q22" s="128">
        <f t="shared" si="3"/>
        <v>1500</v>
      </c>
      <c r="R22" s="14">
        <v>150</v>
      </c>
      <c r="S22" s="3">
        <v>23</v>
      </c>
      <c r="T22" s="128">
        <v>32</v>
      </c>
      <c r="U22" s="1">
        <v>100</v>
      </c>
      <c r="V22" s="1">
        <v>110</v>
      </c>
      <c r="W22" s="3">
        <v>120</v>
      </c>
      <c r="AA22" s="93" t="s">
        <v>132</v>
      </c>
      <c r="AB22">
        <v>0</v>
      </c>
      <c r="AC22" s="178">
        <f t="shared" si="4"/>
        <v>1</v>
      </c>
      <c r="AD22" s="178">
        <f t="shared" si="5"/>
        <v>2</v>
      </c>
    </row>
    <row r="23" spans="1:30" x14ac:dyDescent="0.2">
      <c r="A23" s="26" t="s">
        <v>94</v>
      </c>
      <c r="B23" s="14"/>
      <c r="C23" s="1"/>
      <c r="D23" s="3"/>
      <c r="E23" s="14"/>
      <c r="F23" s="1"/>
      <c r="G23" s="29"/>
      <c r="H23" s="25"/>
      <c r="I23" s="1"/>
      <c r="J23" s="3"/>
      <c r="K23" s="109">
        <v>14</v>
      </c>
      <c r="L23" s="109" t="s">
        <v>5</v>
      </c>
      <c r="M23" s="109">
        <v>19</v>
      </c>
      <c r="N23" s="14">
        <f t="shared" ref="N23:N25" si="7">P23/250</f>
        <v>16</v>
      </c>
      <c r="O23" s="1">
        <f t="shared" si="6"/>
        <v>2</v>
      </c>
      <c r="P23" s="1">
        <v>4000</v>
      </c>
      <c r="Q23" s="128">
        <f t="shared" si="3"/>
        <v>2000</v>
      </c>
      <c r="R23" s="14">
        <v>200</v>
      </c>
      <c r="S23" s="3">
        <v>24</v>
      </c>
      <c r="T23" s="128">
        <v>34</v>
      </c>
      <c r="U23" s="1">
        <v>102</v>
      </c>
      <c r="V23" s="1">
        <v>112</v>
      </c>
      <c r="W23" s="3">
        <v>122</v>
      </c>
      <c r="AA23" s="93" t="s">
        <v>116</v>
      </c>
      <c r="AB23">
        <v>-2</v>
      </c>
      <c r="AC23">
        <v>1</v>
      </c>
      <c r="AD23">
        <v>2</v>
      </c>
    </row>
    <row r="24" spans="1:30" x14ac:dyDescent="0.2">
      <c r="A24" s="100" t="s">
        <v>17</v>
      </c>
      <c r="B24" s="101">
        <v>15</v>
      </c>
      <c r="C24" s="102" t="s">
        <v>5</v>
      </c>
      <c r="D24" s="103">
        <v>30</v>
      </c>
      <c r="E24" s="101">
        <v>2</v>
      </c>
      <c r="F24" s="102" t="s">
        <v>5</v>
      </c>
      <c r="G24" s="104">
        <v>4</v>
      </c>
      <c r="H24" s="105">
        <f>E24*2000</f>
        <v>4000</v>
      </c>
      <c r="I24" s="102" t="s">
        <v>5</v>
      </c>
      <c r="J24" s="103">
        <f t="shared" si="0"/>
        <v>8000</v>
      </c>
      <c r="K24" s="110">
        <v>20</v>
      </c>
      <c r="L24" s="110" t="s">
        <v>5</v>
      </c>
      <c r="M24" s="110">
        <v>27</v>
      </c>
      <c r="N24" s="101">
        <f t="shared" si="7"/>
        <v>24</v>
      </c>
      <c r="O24" s="102">
        <f t="shared" si="6"/>
        <v>3</v>
      </c>
      <c r="P24" s="102">
        <v>6000</v>
      </c>
      <c r="Q24" s="129">
        <f t="shared" si="3"/>
        <v>3000</v>
      </c>
      <c r="R24" s="101">
        <v>250</v>
      </c>
      <c r="S24" s="103">
        <v>26</v>
      </c>
      <c r="T24" s="129">
        <v>36</v>
      </c>
      <c r="U24" s="102">
        <v>105</v>
      </c>
      <c r="V24" s="102">
        <v>115</v>
      </c>
      <c r="W24" s="103">
        <v>125</v>
      </c>
      <c r="X24" s="93" t="s">
        <v>110</v>
      </c>
      <c r="AA24" s="93" t="s">
        <v>117</v>
      </c>
      <c r="AB24">
        <v>-2</v>
      </c>
      <c r="AC24">
        <v>1</v>
      </c>
      <c r="AD24">
        <v>2</v>
      </c>
    </row>
    <row r="25" spans="1:30" x14ac:dyDescent="0.2">
      <c r="A25" s="100" t="s">
        <v>95</v>
      </c>
      <c r="B25" s="101"/>
      <c r="C25" s="102"/>
      <c r="D25" s="103"/>
      <c r="E25" s="101"/>
      <c r="F25" s="102"/>
      <c r="G25" s="104"/>
      <c r="H25" s="105"/>
      <c r="I25" s="102"/>
      <c r="J25" s="103"/>
      <c r="K25" s="110">
        <v>28</v>
      </c>
      <c r="L25" s="110" t="s">
        <v>5</v>
      </c>
      <c r="M25" s="110">
        <v>35</v>
      </c>
      <c r="N25" s="101">
        <f t="shared" si="7"/>
        <v>32</v>
      </c>
      <c r="O25" s="102">
        <f t="shared" si="6"/>
        <v>4</v>
      </c>
      <c r="P25" s="102">
        <v>8000</v>
      </c>
      <c r="Q25" s="129">
        <f>N25*125</f>
        <v>4000</v>
      </c>
      <c r="R25" s="101">
        <v>300</v>
      </c>
      <c r="S25" s="103">
        <v>28</v>
      </c>
      <c r="T25" s="129">
        <v>37</v>
      </c>
      <c r="U25" s="102">
        <v>108</v>
      </c>
      <c r="V25" s="102">
        <v>118</v>
      </c>
      <c r="W25" s="103">
        <v>128</v>
      </c>
      <c r="X25" s="93" t="s">
        <v>110</v>
      </c>
      <c r="AA25" s="93" t="s">
        <v>118</v>
      </c>
      <c r="AB25" s="178">
        <f>AD25-2</f>
        <v>-2</v>
      </c>
      <c r="AC25">
        <v>0</v>
      </c>
      <c r="AD25">
        <v>0</v>
      </c>
    </row>
    <row r="26" spans="1:30" x14ac:dyDescent="0.2">
      <c r="A26" s="100" t="s">
        <v>18</v>
      </c>
      <c r="B26" s="101"/>
      <c r="C26" s="102" t="s">
        <v>10</v>
      </c>
      <c r="D26" s="103">
        <v>30</v>
      </c>
      <c r="E26" s="101"/>
      <c r="F26" s="102" t="s">
        <v>10</v>
      </c>
      <c r="G26" s="104">
        <v>4</v>
      </c>
      <c r="H26" s="105"/>
      <c r="I26" s="102" t="s">
        <v>10</v>
      </c>
      <c r="J26" s="103">
        <f t="shared" si="0"/>
        <v>8000</v>
      </c>
      <c r="K26" s="110">
        <v>36</v>
      </c>
      <c r="L26" s="110" t="s">
        <v>5</v>
      </c>
      <c r="M26" s="110">
        <v>43</v>
      </c>
      <c r="N26" s="101">
        <v>40</v>
      </c>
      <c r="O26" s="102">
        <v>5</v>
      </c>
      <c r="P26" s="102">
        <f>Q26*2</f>
        <v>10000</v>
      </c>
      <c r="Q26" s="129">
        <f t="shared" ref="Q26:Q27" si="8">N26*125</f>
        <v>5000</v>
      </c>
      <c r="R26" s="101">
        <v>350</v>
      </c>
      <c r="S26" s="103">
        <v>30</v>
      </c>
      <c r="T26" s="129">
        <v>38</v>
      </c>
      <c r="U26" s="102">
        <v>110</v>
      </c>
      <c r="V26" s="102">
        <v>120</v>
      </c>
      <c r="W26" s="103">
        <v>130</v>
      </c>
      <c r="X26" s="93" t="s">
        <v>110</v>
      </c>
      <c r="AA26" s="93" t="s">
        <v>119</v>
      </c>
      <c r="AB26" s="178">
        <f t="shared" ref="AB26:AB29" si="9">AD26-2</f>
        <v>-2</v>
      </c>
      <c r="AC26">
        <v>0</v>
      </c>
      <c r="AD26">
        <v>0</v>
      </c>
    </row>
    <row r="27" spans="1:30" x14ac:dyDescent="0.2">
      <c r="A27" s="26" t="s">
        <v>105</v>
      </c>
      <c r="B27" s="14"/>
      <c r="C27" s="1"/>
      <c r="D27" s="3"/>
      <c r="E27" s="14"/>
      <c r="F27" s="1"/>
      <c r="G27" s="29"/>
      <c r="H27" s="25"/>
      <c r="I27" s="1"/>
      <c r="J27" s="3"/>
      <c r="K27" s="109">
        <v>44</v>
      </c>
      <c r="L27" s="109" t="s">
        <v>5</v>
      </c>
      <c r="M27" s="109">
        <v>51</v>
      </c>
      <c r="N27" s="14">
        <v>48</v>
      </c>
      <c r="O27" s="1">
        <v>6</v>
      </c>
      <c r="P27" s="1">
        <v>12000</v>
      </c>
      <c r="Q27" s="128">
        <f t="shared" si="8"/>
        <v>6000</v>
      </c>
      <c r="R27" s="14">
        <v>400</v>
      </c>
      <c r="S27" s="3">
        <v>32</v>
      </c>
      <c r="T27" s="128">
        <v>39</v>
      </c>
      <c r="U27" s="1">
        <v>115</v>
      </c>
      <c r="V27" s="1">
        <v>125</v>
      </c>
      <c r="W27" s="3">
        <v>135</v>
      </c>
      <c r="AA27" s="93" t="s">
        <v>120</v>
      </c>
      <c r="AB27" s="178">
        <f t="shared" si="9"/>
        <v>-2</v>
      </c>
      <c r="AC27">
        <v>0</v>
      </c>
      <c r="AD27">
        <v>0</v>
      </c>
    </row>
    <row r="28" spans="1:30" ht="13.5" thickBot="1" x14ac:dyDescent="0.25">
      <c r="A28" s="27" t="s">
        <v>104</v>
      </c>
      <c r="B28" s="15"/>
      <c r="C28" s="95" t="s">
        <v>10</v>
      </c>
      <c r="D28" s="6">
        <v>50</v>
      </c>
      <c r="E28" s="15"/>
      <c r="F28" s="5"/>
      <c r="G28" s="30"/>
      <c r="H28" s="31"/>
      <c r="I28" s="5"/>
      <c r="J28" s="6"/>
      <c r="K28" s="95">
        <v>52</v>
      </c>
      <c r="L28" s="95" t="s">
        <v>123</v>
      </c>
      <c r="M28" s="95"/>
      <c r="N28" s="15">
        <f>Q28/125</f>
        <v>56</v>
      </c>
      <c r="O28" s="5">
        <v>7</v>
      </c>
      <c r="P28" s="5">
        <v>14000</v>
      </c>
      <c r="Q28" s="123">
        <v>7000</v>
      </c>
      <c r="R28" s="15">
        <v>450</v>
      </c>
      <c r="S28" s="6">
        <v>34</v>
      </c>
      <c r="T28" s="123">
        <v>40</v>
      </c>
      <c r="U28" s="5">
        <v>120</v>
      </c>
      <c r="V28" s="5">
        <v>130</v>
      </c>
      <c r="W28" s="6">
        <v>140</v>
      </c>
      <c r="AA28" s="93" t="s">
        <v>121</v>
      </c>
      <c r="AB28" s="178">
        <f t="shared" si="9"/>
        <v>-4</v>
      </c>
      <c r="AC28">
        <v>-1</v>
      </c>
      <c r="AD28">
        <v>-2</v>
      </c>
    </row>
    <row r="29" spans="1:30" ht="13.5" thickBot="1" x14ac:dyDescent="0.25">
      <c r="AA29" s="93" t="s">
        <v>122</v>
      </c>
      <c r="AB29" s="178">
        <f t="shared" si="9"/>
        <v>-4</v>
      </c>
      <c r="AC29">
        <v>-1</v>
      </c>
      <c r="AD29">
        <v>-2</v>
      </c>
    </row>
    <row r="30" spans="1:30" ht="13.5" thickBot="1" x14ac:dyDescent="0.25">
      <c r="A30" s="8" t="s">
        <v>20</v>
      </c>
      <c r="K30" s="1"/>
      <c r="L30" s="1"/>
      <c r="M30" s="1"/>
      <c r="N30" s="111" t="s">
        <v>113</v>
      </c>
      <c r="O30" s="67"/>
      <c r="P30" s="112"/>
      <c r="Q30" s="132" t="s">
        <v>125</v>
      </c>
      <c r="R30" s="212" t="s">
        <v>124</v>
      </c>
      <c r="S30" s="213"/>
      <c r="T30" s="132" t="s">
        <v>126</v>
      </c>
      <c r="U30" s="66"/>
      <c r="V30" s="18" t="s">
        <v>127</v>
      </c>
      <c r="W30" s="112"/>
    </row>
    <row r="31" spans="1:30" ht="14.25" x14ac:dyDescent="0.25">
      <c r="A31" s="136"/>
      <c r="B31" s="97"/>
      <c r="C31" s="12"/>
      <c r="D31" s="13"/>
      <c r="E31" s="154" t="s">
        <v>44</v>
      </c>
      <c r="F31" s="155"/>
      <c r="G31" s="156"/>
      <c r="H31" s="157"/>
      <c r="I31" s="155"/>
      <c r="J31" s="158"/>
      <c r="K31" s="114"/>
      <c r="L31" s="12" t="s">
        <v>112</v>
      </c>
      <c r="M31" s="13"/>
      <c r="N31" s="88" t="s">
        <v>96</v>
      </c>
      <c r="O31" s="146" t="s">
        <v>107</v>
      </c>
      <c r="P31" s="147" t="s">
        <v>107</v>
      </c>
      <c r="Q31" s="126" t="s">
        <v>99</v>
      </c>
      <c r="R31" s="88" t="s">
        <v>97</v>
      </c>
      <c r="S31" s="99" t="s">
        <v>98</v>
      </c>
      <c r="T31" s="130" t="s">
        <v>106</v>
      </c>
      <c r="U31" s="138" t="s">
        <v>101</v>
      </c>
      <c r="V31" s="96" t="s">
        <v>102</v>
      </c>
      <c r="W31" s="99" t="s">
        <v>103</v>
      </c>
    </row>
    <row r="32" spans="1:30" x14ac:dyDescent="0.2">
      <c r="A32" s="137" t="s">
        <v>0</v>
      </c>
      <c r="B32" s="118"/>
      <c r="C32" s="116" t="s">
        <v>1</v>
      </c>
      <c r="D32" s="117"/>
      <c r="E32" s="159"/>
      <c r="F32" s="146" t="s">
        <v>2</v>
      </c>
      <c r="G32" s="160"/>
      <c r="H32" s="161"/>
      <c r="I32" s="146" t="s">
        <v>3</v>
      </c>
      <c r="J32" s="147"/>
      <c r="K32" s="115"/>
      <c r="L32" s="116" t="s">
        <v>111</v>
      </c>
      <c r="M32" s="117"/>
      <c r="N32" s="118" t="s">
        <v>111</v>
      </c>
      <c r="O32" s="148" t="s">
        <v>2</v>
      </c>
      <c r="P32" s="149" t="s">
        <v>3</v>
      </c>
      <c r="Q32" s="122" t="s">
        <v>3</v>
      </c>
      <c r="R32" s="118" t="s">
        <v>3</v>
      </c>
      <c r="S32" s="120" t="s">
        <v>108</v>
      </c>
      <c r="T32" s="125" t="s">
        <v>108</v>
      </c>
      <c r="U32" s="139" t="s">
        <v>109</v>
      </c>
      <c r="V32" s="119" t="s">
        <v>109</v>
      </c>
      <c r="W32" s="120" t="s">
        <v>109</v>
      </c>
    </row>
    <row r="33" spans="1:24" x14ac:dyDescent="0.2">
      <c r="A33" s="142" t="s">
        <v>143</v>
      </c>
      <c r="B33" s="21"/>
      <c r="C33" s="22"/>
      <c r="D33" s="23"/>
      <c r="E33" s="162"/>
      <c r="F33" s="163"/>
      <c r="G33" s="164"/>
      <c r="H33" s="165"/>
      <c r="I33" s="163"/>
      <c r="J33" s="166"/>
      <c r="K33" s="14">
        <v>0</v>
      </c>
      <c r="L33" s="109" t="s">
        <v>5</v>
      </c>
      <c r="M33" s="3"/>
      <c r="N33" s="14">
        <v>0</v>
      </c>
      <c r="O33" s="150">
        <v>0</v>
      </c>
      <c r="P33" s="151">
        <v>0</v>
      </c>
      <c r="Q33" s="128">
        <v>0</v>
      </c>
      <c r="R33" s="14">
        <v>0</v>
      </c>
      <c r="S33" s="3">
        <v>26</v>
      </c>
      <c r="T33" s="128">
        <f>S33</f>
        <v>26</v>
      </c>
      <c r="U33" s="14">
        <f t="shared" ref="U33" si="10">W33-20</f>
        <v>90</v>
      </c>
      <c r="V33" s="1">
        <f t="shared" ref="V33" si="11">W33-10</f>
        <v>100</v>
      </c>
      <c r="W33" s="3">
        <v>110</v>
      </c>
    </row>
    <row r="34" spans="1:24" x14ac:dyDescent="0.2">
      <c r="A34" s="2" t="s">
        <v>4</v>
      </c>
      <c r="B34" s="14">
        <v>0</v>
      </c>
      <c r="C34" s="1" t="s">
        <v>5</v>
      </c>
      <c r="D34" s="3">
        <v>4</v>
      </c>
      <c r="E34" s="167">
        <v>0</v>
      </c>
      <c r="F34" s="168" t="s">
        <v>5</v>
      </c>
      <c r="G34" s="169">
        <v>0.5</v>
      </c>
      <c r="H34" s="170">
        <f>E34*2000</f>
        <v>0</v>
      </c>
      <c r="I34" s="168" t="s">
        <v>5</v>
      </c>
      <c r="J34" s="171">
        <f>G34*2000</f>
        <v>1000</v>
      </c>
      <c r="K34" s="140">
        <v>1</v>
      </c>
      <c r="L34" s="109" t="s">
        <v>5</v>
      </c>
      <c r="M34" s="3">
        <v>2</v>
      </c>
      <c r="N34" s="14">
        <v>2</v>
      </c>
      <c r="O34" s="150">
        <f>P34/2000</f>
        <v>0.25</v>
      </c>
      <c r="P34" s="151">
        <v>500</v>
      </c>
      <c r="Q34" s="128">
        <v>0</v>
      </c>
      <c r="R34" s="14">
        <v>0</v>
      </c>
      <c r="S34" s="3">
        <v>27</v>
      </c>
      <c r="T34" s="128">
        <f t="shared" ref="T34:T43" si="12">S34</f>
        <v>27</v>
      </c>
      <c r="U34" s="14">
        <f>W34-20</f>
        <v>95</v>
      </c>
      <c r="V34" s="1">
        <f>W34-10</f>
        <v>105</v>
      </c>
      <c r="W34" s="3">
        <v>115</v>
      </c>
    </row>
    <row r="35" spans="1:24" x14ac:dyDescent="0.2">
      <c r="A35" s="141" t="s">
        <v>139</v>
      </c>
      <c r="B35" s="14"/>
      <c r="C35" s="1"/>
      <c r="D35" s="3"/>
      <c r="E35" s="167"/>
      <c r="F35" s="168"/>
      <c r="G35" s="169"/>
      <c r="H35" s="170"/>
      <c r="I35" s="168"/>
      <c r="J35" s="171"/>
      <c r="K35" s="14">
        <v>3</v>
      </c>
      <c r="L35" s="109" t="s">
        <v>5</v>
      </c>
      <c r="M35" s="3">
        <v>5</v>
      </c>
      <c r="N35" s="14">
        <v>4</v>
      </c>
      <c r="O35" s="150">
        <v>0.5</v>
      </c>
      <c r="P35" s="151">
        <v>1000</v>
      </c>
      <c r="Q35" s="128">
        <v>0</v>
      </c>
      <c r="R35" s="14">
        <v>0</v>
      </c>
      <c r="S35" s="3">
        <v>28</v>
      </c>
      <c r="T35" s="128">
        <f t="shared" si="12"/>
        <v>28</v>
      </c>
      <c r="U35" s="14">
        <f t="shared" ref="U35:U43" si="13">W35-20</f>
        <v>98</v>
      </c>
      <c r="V35" s="1">
        <f t="shared" ref="V35:V43" si="14">W35-10</f>
        <v>108</v>
      </c>
      <c r="W35" s="3">
        <v>118</v>
      </c>
    </row>
    <row r="36" spans="1:24" x14ac:dyDescent="0.2">
      <c r="A36" s="2" t="s">
        <v>6</v>
      </c>
      <c r="B36" s="14">
        <v>4</v>
      </c>
      <c r="C36" s="1" t="s">
        <v>5</v>
      </c>
      <c r="D36" s="3">
        <v>10</v>
      </c>
      <c r="E36" s="167">
        <v>0.5</v>
      </c>
      <c r="F36" s="168" t="s">
        <v>5</v>
      </c>
      <c r="G36" s="169">
        <v>1.25</v>
      </c>
      <c r="H36" s="170">
        <f>E36*2000</f>
        <v>1000</v>
      </c>
      <c r="I36" s="168" t="s">
        <v>5</v>
      </c>
      <c r="J36" s="171">
        <f>G36*2000</f>
        <v>2500</v>
      </c>
      <c r="K36" s="14">
        <v>6</v>
      </c>
      <c r="L36" s="109" t="s">
        <v>5</v>
      </c>
      <c r="M36" s="3">
        <v>8</v>
      </c>
      <c r="N36" s="14">
        <v>7</v>
      </c>
      <c r="O36" s="150">
        <f>P36/2000</f>
        <v>0.875</v>
      </c>
      <c r="P36" s="151">
        <f>AVERAGE(P35,P37)</f>
        <v>1750</v>
      </c>
      <c r="Q36" s="128">
        <v>0</v>
      </c>
      <c r="R36" s="14">
        <v>0</v>
      </c>
      <c r="S36" s="3">
        <v>29</v>
      </c>
      <c r="T36" s="128">
        <f t="shared" si="12"/>
        <v>29</v>
      </c>
      <c r="U36" s="14">
        <f t="shared" si="13"/>
        <v>100</v>
      </c>
      <c r="V36" s="1">
        <f t="shared" si="14"/>
        <v>110</v>
      </c>
      <c r="W36" s="3">
        <v>120</v>
      </c>
    </row>
    <row r="37" spans="1:24" x14ac:dyDescent="0.2">
      <c r="A37" s="141" t="s">
        <v>140</v>
      </c>
      <c r="B37" s="14"/>
      <c r="C37" s="1"/>
      <c r="D37" s="3"/>
      <c r="E37" s="167"/>
      <c r="F37" s="168"/>
      <c r="G37" s="169"/>
      <c r="H37" s="170"/>
      <c r="I37" s="168"/>
      <c r="J37" s="171"/>
      <c r="K37" s="14">
        <v>9</v>
      </c>
      <c r="L37" s="109" t="s">
        <v>5</v>
      </c>
      <c r="M37" s="3">
        <v>14</v>
      </c>
      <c r="N37" s="14">
        <v>10</v>
      </c>
      <c r="O37" s="150">
        <v>1.25</v>
      </c>
      <c r="P37" s="151">
        <v>2500</v>
      </c>
      <c r="Q37" s="128">
        <v>0</v>
      </c>
      <c r="R37" s="14">
        <v>0</v>
      </c>
      <c r="S37" s="3">
        <v>30</v>
      </c>
      <c r="T37" s="128">
        <f t="shared" si="12"/>
        <v>30</v>
      </c>
      <c r="U37" s="14">
        <f t="shared" si="13"/>
        <v>102</v>
      </c>
      <c r="V37" s="1">
        <f t="shared" si="14"/>
        <v>112</v>
      </c>
      <c r="W37" s="3">
        <v>122</v>
      </c>
    </row>
    <row r="38" spans="1:24" x14ac:dyDescent="0.2">
      <c r="A38" s="2" t="s">
        <v>7</v>
      </c>
      <c r="B38" s="14">
        <v>10</v>
      </c>
      <c r="C38" s="1" t="s">
        <v>5</v>
      </c>
      <c r="D38" s="3">
        <v>30</v>
      </c>
      <c r="E38" s="167">
        <v>1.25</v>
      </c>
      <c r="F38" s="168" t="s">
        <v>5</v>
      </c>
      <c r="G38" s="169">
        <v>2.5</v>
      </c>
      <c r="H38" s="170">
        <f>E38*2000</f>
        <v>2500</v>
      </c>
      <c r="I38" s="168" t="s">
        <v>5</v>
      </c>
      <c r="J38" s="171">
        <f>G38*2000</f>
        <v>5000</v>
      </c>
      <c r="K38" s="14">
        <v>15</v>
      </c>
      <c r="L38" s="109" t="s">
        <v>5</v>
      </c>
      <c r="M38" s="3">
        <v>24</v>
      </c>
      <c r="N38" s="14">
        <v>20</v>
      </c>
      <c r="O38" s="150">
        <f>P38/2000</f>
        <v>1.875</v>
      </c>
      <c r="P38" s="151">
        <f>AVERAGE(P37,P39)</f>
        <v>3750</v>
      </c>
      <c r="Q38" s="128">
        <v>0</v>
      </c>
      <c r="R38" s="14">
        <v>0</v>
      </c>
      <c r="S38" s="3">
        <v>32</v>
      </c>
      <c r="T38" s="128">
        <f t="shared" si="12"/>
        <v>32</v>
      </c>
      <c r="U38" s="14">
        <f t="shared" si="13"/>
        <v>105</v>
      </c>
      <c r="V38" s="1">
        <f t="shared" si="14"/>
        <v>115</v>
      </c>
      <c r="W38" s="3">
        <v>125</v>
      </c>
    </row>
    <row r="39" spans="1:24" x14ac:dyDescent="0.2">
      <c r="A39" s="141" t="s">
        <v>141</v>
      </c>
      <c r="B39" s="14"/>
      <c r="C39" s="1"/>
      <c r="D39" s="3"/>
      <c r="E39" s="167"/>
      <c r="F39" s="168"/>
      <c r="G39" s="169"/>
      <c r="H39" s="170"/>
      <c r="I39" s="168"/>
      <c r="J39" s="171"/>
      <c r="K39" s="14">
        <v>25</v>
      </c>
      <c r="L39" s="109" t="s">
        <v>5</v>
      </c>
      <c r="M39" s="3">
        <v>34</v>
      </c>
      <c r="N39" s="14">
        <v>30</v>
      </c>
      <c r="O39" s="150">
        <v>2.5</v>
      </c>
      <c r="P39" s="151">
        <v>5000</v>
      </c>
      <c r="Q39" s="128">
        <v>0</v>
      </c>
      <c r="R39" s="14">
        <v>0</v>
      </c>
      <c r="S39" s="3">
        <v>34</v>
      </c>
      <c r="T39" s="128">
        <f t="shared" si="12"/>
        <v>34</v>
      </c>
      <c r="U39" s="14">
        <f t="shared" si="13"/>
        <v>108</v>
      </c>
      <c r="V39" s="1">
        <f t="shared" si="14"/>
        <v>118</v>
      </c>
      <c r="W39" s="3">
        <v>128</v>
      </c>
    </row>
    <row r="40" spans="1:24" x14ac:dyDescent="0.2">
      <c r="A40" s="144" t="s">
        <v>8</v>
      </c>
      <c r="B40" s="101">
        <v>30</v>
      </c>
      <c r="C40" s="102" t="s">
        <v>5</v>
      </c>
      <c r="D40" s="103">
        <v>50</v>
      </c>
      <c r="E40" s="167">
        <v>2.5</v>
      </c>
      <c r="F40" s="168" t="s">
        <v>5</v>
      </c>
      <c r="G40" s="169">
        <v>3.25</v>
      </c>
      <c r="H40" s="170">
        <f>E40*2000</f>
        <v>5000</v>
      </c>
      <c r="I40" s="168" t="s">
        <v>5</v>
      </c>
      <c r="J40" s="171">
        <f>G40*2000</f>
        <v>6500</v>
      </c>
      <c r="K40" s="101">
        <v>35</v>
      </c>
      <c r="L40" s="110" t="s">
        <v>5</v>
      </c>
      <c r="M40" s="103">
        <v>44</v>
      </c>
      <c r="N40" s="101">
        <v>40</v>
      </c>
      <c r="O40" s="150">
        <f>P40/2000</f>
        <v>2.875</v>
      </c>
      <c r="P40" s="151">
        <f>AVERAGE(P39,P41)</f>
        <v>5750</v>
      </c>
      <c r="Q40" s="129">
        <v>0</v>
      </c>
      <c r="R40" s="101">
        <v>0</v>
      </c>
      <c r="S40" s="103">
        <v>36</v>
      </c>
      <c r="T40" s="129">
        <f t="shared" si="12"/>
        <v>36</v>
      </c>
      <c r="U40" s="101">
        <f t="shared" si="13"/>
        <v>110</v>
      </c>
      <c r="V40" s="102">
        <f t="shared" si="14"/>
        <v>120</v>
      </c>
      <c r="W40" s="103">
        <v>130</v>
      </c>
      <c r="X40" s="93" t="s">
        <v>110</v>
      </c>
    </row>
    <row r="41" spans="1:24" x14ac:dyDescent="0.2">
      <c r="A41" s="145" t="s">
        <v>142</v>
      </c>
      <c r="B41" s="101"/>
      <c r="C41" s="102"/>
      <c r="D41" s="103"/>
      <c r="E41" s="167"/>
      <c r="F41" s="168"/>
      <c r="G41" s="169"/>
      <c r="H41" s="170"/>
      <c r="I41" s="168"/>
      <c r="J41" s="171"/>
      <c r="K41" s="101">
        <v>45</v>
      </c>
      <c r="L41" s="110" t="s">
        <v>5</v>
      </c>
      <c r="M41" s="103">
        <v>54</v>
      </c>
      <c r="N41" s="101">
        <v>50</v>
      </c>
      <c r="O41" s="150">
        <v>3.25</v>
      </c>
      <c r="P41" s="151">
        <v>6500</v>
      </c>
      <c r="Q41" s="129">
        <v>0</v>
      </c>
      <c r="R41" s="101">
        <v>0</v>
      </c>
      <c r="S41" s="103">
        <v>38</v>
      </c>
      <c r="T41" s="129">
        <f t="shared" si="12"/>
        <v>38</v>
      </c>
      <c r="U41" s="101">
        <f t="shared" si="13"/>
        <v>112</v>
      </c>
      <c r="V41" s="102">
        <f t="shared" si="14"/>
        <v>122</v>
      </c>
      <c r="W41" s="103">
        <v>132</v>
      </c>
      <c r="X41" s="93" t="s">
        <v>110</v>
      </c>
    </row>
    <row r="42" spans="1:24" x14ac:dyDescent="0.2">
      <c r="A42" s="2" t="s">
        <v>9</v>
      </c>
      <c r="B42" s="14"/>
      <c r="C42" s="1" t="s">
        <v>10</v>
      </c>
      <c r="D42" s="3">
        <v>50</v>
      </c>
      <c r="E42" s="167">
        <v>3.25</v>
      </c>
      <c r="F42" s="168" t="s">
        <v>5</v>
      </c>
      <c r="G42" s="169">
        <v>4</v>
      </c>
      <c r="H42" s="170">
        <f>E42*2000</f>
        <v>6500</v>
      </c>
      <c r="I42" s="168" t="s">
        <v>5</v>
      </c>
      <c r="J42" s="171">
        <f>G42*2000</f>
        <v>8000</v>
      </c>
      <c r="K42" s="14">
        <v>55</v>
      </c>
      <c r="L42" s="109" t="s">
        <v>5</v>
      </c>
      <c r="M42" s="3">
        <v>64</v>
      </c>
      <c r="N42" s="14">
        <v>60</v>
      </c>
      <c r="O42" s="150">
        <f>P42/2000</f>
        <v>3.625</v>
      </c>
      <c r="P42" s="151">
        <f>AVERAGE(P41,P43)</f>
        <v>7250</v>
      </c>
      <c r="Q42" s="128">
        <v>0</v>
      </c>
      <c r="R42" s="14">
        <v>0</v>
      </c>
      <c r="S42" s="3">
        <v>40</v>
      </c>
      <c r="T42" s="128">
        <f t="shared" si="12"/>
        <v>40</v>
      </c>
      <c r="U42" s="14">
        <f t="shared" si="13"/>
        <v>115</v>
      </c>
      <c r="V42" s="1">
        <f t="shared" si="14"/>
        <v>125</v>
      </c>
      <c r="W42" s="3">
        <v>135</v>
      </c>
    </row>
    <row r="43" spans="1:24" ht="13.5" thickBot="1" x14ac:dyDescent="0.25">
      <c r="A43" s="143" t="s">
        <v>144</v>
      </c>
      <c r="B43" s="15"/>
      <c r="C43" s="5"/>
      <c r="D43" s="6"/>
      <c r="E43" s="172"/>
      <c r="F43" s="173"/>
      <c r="G43" s="174"/>
      <c r="H43" s="175"/>
      <c r="I43" s="173"/>
      <c r="J43" s="176"/>
      <c r="K43" s="15">
        <v>65</v>
      </c>
      <c r="L43" s="95" t="s">
        <v>123</v>
      </c>
      <c r="M43" s="6"/>
      <c r="N43" s="15">
        <v>70</v>
      </c>
      <c r="O43" s="152">
        <f>P43/2000</f>
        <v>4</v>
      </c>
      <c r="P43" s="153">
        <v>8000</v>
      </c>
      <c r="Q43" s="123">
        <v>0</v>
      </c>
      <c r="R43" s="15">
        <v>0</v>
      </c>
      <c r="S43" s="6">
        <v>41</v>
      </c>
      <c r="T43" s="123">
        <f t="shared" si="12"/>
        <v>41</v>
      </c>
      <c r="U43" s="15">
        <f t="shared" si="13"/>
        <v>120</v>
      </c>
      <c r="V43" s="5">
        <f t="shared" si="14"/>
        <v>130</v>
      </c>
      <c r="W43" s="6">
        <v>140</v>
      </c>
    </row>
  </sheetData>
  <mergeCells count="12">
    <mergeCell ref="R30:S30"/>
    <mergeCell ref="R7:S7"/>
    <mergeCell ref="H10:J10"/>
    <mergeCell ref="H5:J5"/>
    <mergeCell ref="K10:M10"/>
    <mergeCell ref="K5:M5"/>
    <mergeCell ref="U2:X2"/>
    <mergeCell ref="U7:X7"/>
    <mergeCell ref="O2:P2"/>
    <mergeCell ref="O7:P7"/>
    <mergeCell ref="R12:S12"/>
    <mergeCell ref="R2:S2"/>
  </mergeCells>
  <phoneticPr fontId="0" type="noConversion"/>
  <dataValidations count="2">
    <dataValidation type="list" allowBlank="1" showInputMessage="1" showErrorMessage="1" sqref="K10:M10" xr:uid="{00000000-0002-0000-0100-000000000000}">
      <formula1>$AA$15:$AA$24</formula1>
    </dataValidation>
    <dataValidation type="list" allowBlank="1" showInputMessage="1" showErrorMessage="1" sqref="K5:M5" xr:uid="{00000000-0002-0000-0100-000001000000}">
      <formula1>$AA$23:$AA$29</formula1>
    </dataValidation>
  </dataValidation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26"/>
  <sheetViews>
    <sheetView workbookViewId="0">
      <selection activeCell="E29" sqref="E29"/>
    </sheetView>
  </sheetViews>
  <sheetFormatPr defaultRowHeight="12.75" x14ac:dyDescent="0.2"/>
  <cols>
    <col min="1" max="1" width="13.28515625" bestFit="1" customWidth="1"/>
    <col min="2" max="2" width="6" customWidth="1"/>
    <col min="3" max="3" width="2.140625" customWidth="1"/>
    <col min="4" max="4" width="6" customWidth="1"/>
    <col min="5" max="5" width="6.28515625" customWidth="1"/>
    <col min="6" max="6" width="2.140625" customWidth="1"/>
    <col min="7" max="8" width="6.28515625" customWidth="1"/>
    <col min="9" max="9" width="2.140625" customWidth="1"/>
    <col min="10" max="10" width="6.28515625" customWidth="1"/>
    <col min="16" max="16" width="4" style="1" bestFit="1" customWidth="1"/>
    <col min="17" max="19" width="4.5703125" style="1" bestFit="1" customWidth="1"/>
    <col min="20" max="20" width="5.85546875" style="1" bestFit="1" customWidth="1"/>
    <col min="21" max="22" width="6" customWidth="1"/>
  </cols>
  <sheetData>
    <row r="1" spans="1:25" ht="15.75" x14ac:dyDescent="0.25">
      <c r="A1" s="39" t="s">
        <v>53</v>
      </c>
    </row>
    <row r="3" spans="1:25" ht="13.5" thickBot="1" x14ac:dyDescent="0.25">
      <c r="A3" s="7" t="s">
        <v>19</v>
      </c>
      <c r="B3" s="1"/>
      <c r="C3" s="1"/>
      <c r="D3" s="1"/>
      <c r="E3" s="10" t="s">
        <v>44</v>
      </c>
      <c r="F3" s="1"/>
      <c r="G3" s="1"/>
      <c r="H3" s="1"/>
      <c r="I3" s="1"/>
      <c r="J3" s="1"/>
      <c r="M3" s="9" t="s">
        <v>24</v>
      </c>
      <c r="P3" s="48" t="s">
        <v>67</v>
      </c>
      <c r="W3" s="8" t="s">
        <v>68</v>
      </c>
    </row>
    <row r="4" spans="1:25" x14ac:dyDescent="0.2">
      <c r="A4" s="34" t="s">
        <v>11</v>
      </c>
      <c r="B4" s="35"/>
      <c r="C4" s="18" t="s">
        <v>1</v>
      </c>
      <c r="D4" s="131"/>
      <c r="E4" s="11"/>
      <c r="F4" s="12" t="s">
        <v>2</v>
      </c>
      <c r="G4" s="32"/>
      <c r="H4" s="33"/>
      <c r="I4" s="12" t="s">
        <v>3</v>
      </c>
      <c r="J4" s="13"/>
      <c r="K4" s="16" t="s">
        <v>21</v>
      </c>
      <c r="L4" s="17" t="s">
        <v>22</v>
      </c>
      <c r="M4" s="12" t="s">
        <v>28</v>
      </c>
      <c r="N4" s="12" t="s">
        <v>29</v>
      </c>
      <c r="O4" s="13" t="s">
        <v>23</v>
      </c>
      <c r="P4" s="66"/>
      <c r="Q4" s="20" t="s">
        <v>54</v>
      </c>
      <c r="R4" s="20"/>
      <c r="S4" s="67"/>
      <c r="T4" s="20" t="s">
        <v>45</v>
      </c>
      <c r="U4" s="68"/>
      <c r="V4" s="69"/>
      <c r="W4" s="70" t="s">
        <v>54</v>
      </c>
      <c r="X4" s="68"/>
      <c r="Y4" s="65" t="s">
        <v>72</v>
      </c>
    </row>
    <row r="5" spans="1:25" x14ac:dyDescent="0.2">
      <c r="A5" s="36" t="s">
        <v>12</v>
      </c>
      <c r="B5" s="21"/>
      <c r="C5" s="22" t="s">
        <v>13</v>
      </c>
      <c r="D5" s="23">
        <v>2</v>
      </c>
      <c r="E5" s="21"/>
      <c r="F5" s="22" t="s">
        <v>13</v>
      </c>
      <c r="G5" s="28">
        <v>0.25</v>
      </c>
      <c r="H5" s="24"/>
      <c r="I5" s="22" t="s">
        <v>13</v>
      </c>
      <c r="J5" s="23">
        <f t="shared" ref="J5:J10" si="0">G5*2000</f>
        <v>500</v>
      </c>
      <c r="K5" s="21" t="s">
        <v>73</v>
      </c>
      <c r="L5" s="22" t="s">
        <v>73</v>
      </c>
      <c r="M5" s="22" t="s">
        <v>74</v>
      </c>
      <c r="N5" s="22" t="s">
        <v>75</v>
      </c>
      <c r="O5" s="23" t="s">
        <v>34</v>
      </c>
      <c r="P5" s="14"/>
      <c r="Q5" s="49" t="s">
        <v>59</v>
      </c>
      <c r="R5" s="50" t="s">
        <v>3</v>
      </c>
      <c r="T5" s="51" t="s">
        <v>55</v>
      </c>
      <c r="V5" s="52"/>
      <c r="W5" s="57">
        <v>150</v>
      </c>
      <c r="X5" s="50" t="s">
        <v>3</v>
      </c>
      <c r="Y5" s="3" t="s">
        <v>71</v>
      </c>
    </row>
    <row r="6" spans="1:25" x14ac:dyDescent="0.2">
      <c r="A6" s="26" t="s">
        <v>14</v>
      </c>
      <c r="B6" s="14">
        <v>2</v>
      </c>
      <c r="C6" s="1" t="s">
        <v>5</v>
      </c>
      <c r="D6" s="3">
        <v>4</v>
      </c>
      <c r="E6" s="14">
        <v>0.25</v>
      </c>
      <c r="F6" s="1" t="s">
        <v>5</v>
      </c>
      <c r="G6" s="29">
        <v>0.5</v>
      </c>
      <c r="H6" s="25">
        <f>E6*2000</f>
        <v>500</v>
      </c>
      <c r="I6" s="1" t="s">
        <v>5</v>
      </c>
      <c r="J6" s="3">
        <f t="shared" si="0"/>
        <v>1000</v>
      </c>
      <c r="K6" s="14" t="s">
        <v>76</v>
      </c>
      <c r="L6" s="1" t="s">
        <v>74</v>
      </c>
      <c r="M6" s="1" t="s">
        <v>35</v>
      </c>
      <c r="N6" s="1" t="s">
        <v>34</v>
      </c>
      <c r="O6" s="3" t="s">
        <v>33</v>
      </c>
      <c r="P6" s="14"/>
      <c r="Q6" s="49" t="s">
        <v>60</v>
      </c>
      <c r="R6" s="50" t="s">
        <v>3</v>
      </c>
      <c r="T6" s="1" t="s">
        <v>62</v>
      </c>
      <c r="V6" s="52"/>
      <c r="W6" s="57">
        <v>450</v>
      </c>
      <c r="X6" s="50" t="s">
        <v>3</v>
      </c>
      <c r="Y6" s="3" t="s">
        <v>84</v>
      </c>
    </row>
    <row r="7" spans="1:25" x14ac:dyDescent="0.2">
      <c r="A7" s="26" t="s">
        <v>15</v>
      </c>
      <c r="B7" s="14">
        <v>4</v>
      </c>
      <c r="C7" s="1" t="s">
        <v>5</v>
      </c>
      <c r="D7" s="3">
        <v>8</v>
      </c>
      <c r="E7" s="14">
        <v>0.5</v>
      </c>
      <c r="F7" s="1" t="s">
        <v>5</v>
      </c>
      <c r="G7" s="29">
        <v>1</v>
      </c>
      <c r="H7" s="25">
        <f>E7*2000</f>
        <v>1000</v>
      </c>
      <c r="I7" s="1" t="s">
        <v>5</v>
      </c>
      <c r="J7" s="3">
        <f t="shared" si="0"/>
        <v>2000</v>
      </c>
      <c r="K7" s="14" t="s">
        <v>75</v>
      </c>
      <c r="L7" s="1" t="s">
        <v>77</v>
      </c>
      <c r="M7" s="1" t="s">
        <v>77</v>
      </c>
      <c r="N7" s="1" t="s">
        <v>33</v>
      </c>
      <c r="O7" s="3" t="s">
        <v>30</v>
      </c>
      <c r="P7" s="14"/>
      <c r="Q7" s="49" t="s">
        <v>61</v>
      </c>
      <c r="R7" s="50" t="s">
        <v>3</v>
      </c>
      <c r="T7" s="1" t="s">
        <v>63</v>
      </c>
      <c r="V7" s="52"/>
      <c r="W7" s="57">
        <v>850</v>
      </c>
      <c r="X7" s="50" t="s">
        <v>3</v>
      </c>
      <c r="Y7" s="3" t="s">
        <v>85</v>
      </c>
    </row>
    <row r="8" spans="1:25" x14ac:dyDescent="0.2">
      <c r="A8" s="26" t="s">
        <v>16</v>
      </c>
      <c r="B8" s="14">
        <v>8</v>
      </c>
      <c r="C8" s="1" t="s">
        <v>5</v>
      </c>
      <c r="D8" s="3">
        <v>15</v>
      </c>
      <c r="E8" s="14">
        <v>1</v>
      </c>
      <c r="F8" s="1" t="s">
        <v>5</v>
      </c>
      <c r="G8" s="29">
        <v>2</v>
      </c>
      <c r="H8" s="25">
        <f>E8*2000</f>
        <v>2000</v>
      </c>
      <c r="I8" s="1" t="s">
        <v>5</v>
      </c>
      <c r="J8" s="3">
        <f t="shared" si="0"/>
        <v>4000</v>
      </c>
      <c r="K8" s="14" t="s">
        <v>34</v>
      </c>
      <c r="L8" s="1" t="s">
        <v>33</v>
      </c>
      <c r="M8" s="1" t="s">
        <v>36</v>
      </c>
      <c r="N8" s="1" t="s">
        <v>30</v>
      </c>
      <c r="O8" s="3" t="s">
        <v>26</v>
      </c>
      <c r="P8" s="14"/>
      <c r="Q8" s="49" t="s">
        <v>58</v>
      </c>
      <c r="R8" s="50" t="s">
        <v>3</v>
      </c>
      <c r="T8" s="1" t="s">
        <v>64</v>
      </c>
      <c r="V8" s="52"/>
      <c r="W8" s="57">
        <v>1250</v>
      </c>
      <c r="X8" s="50" t="s">
        <v>3</v>
      </c>
      <c r="Y8" s="3" t="s">
        <v>69</v>
      </c>
    </row>
    <row r="9" spans="1:25" x14ac:dyDescent="0.2">
      <c r="A9" s="26" t="s">
        <v>17</v>
      </c>
      <c r="B9" s="14">
        <v>15</v>
      </c>
      <c r="C9" s="1" t="s">
        <v>5</v>
      </c>
      <c r="D9" s="3">
        <v>30</v>
      </c>
      <c r="E9" s="14">
        <v>2</v>
      </c>
      <c r="F9" s="1" t="s">
        <v>5</v>
      </c>
      <c r="G9" s="29">
        <v>4</v>
      </c>
      <c r="H9" s="25">
        <f>E9*2000</f>
        <v>4000</v>
      </c>
      <c r="I9" s="1" t="s">
        <v>5</v>
      </c>
      <c r="J9" s="3">
        <f t="shared" si="0"/>
        <v>8000</v>
      </c>
      <c r="K9" s="14" t="s">
        <v>33</v>
      </c>
      <c r="L9" s="1" t="s">
        <v>36</v>
      </c>
      <c r="M9" s="1" t="s">
        <v>30</v>
      </c>
      <c r="N9" s="1" t="s">
        <v>26</v>
      </c>
      <c r="O9" s="3" t="s">
        <v>32</v>
      </c>
      <c r="P9" s="14"/>
      <c r="Q9" s="49" t="s">
        <v>56</v>
      </c>
      <c r="R9" s="50" t="s">
        <v>3</v>
      </c>
      <c r="T9" s="1" t="s">
        <v>65</v>
      </c>
      <c r="V9" s="52"/>
      <c r="W9" s="57">
        <v>1500</v>
      </c>
      <c r="X9" s="50" t="s">
        <v>3</v>
      </c>
      <c r="Y9" s="3" t="s">
        <v>70</v>
      </c>
    </row>
    <row r="10" spans="1:25" ht="13.5" thickBot="1" x14ac:dyDescent="0.25">
      <c r="A10" s="27" t="s">
        <v>18</v>
      </c>
      <c r="B10" s="15"/>
      <c r="C10" s="5" t="s">
        <v>10</v>
      </c>
      <c r="D10" s="6">
        <v>30</v>
      </c>
      <c r="E10" s="15"/>
      <c r="F10" s="5" t="s">
        <v>10</v>
      </c>
      <c r="G10" s="30">
        <v>4</v>
      </c>
      <c r="H10" s="31"/>
      <c r="I10" s="5" t="s">
        <v>10</v>
      </c>
      <c r="J10" s="6">
        <f t="shared" si="0"/>
        <v>8000</v>
      </c>
      <c r="K10" s="15" t="s">
        <v>39</v>
      </c>
      <c r="L10" s="5" t="s">
        <v>40</v>
      </c>
      <c r="M10" s="5" t="s">
        <v>37</v>
      </c>
      <c r="N10" s="5" t="s">
        <v>38</v>
      </c>
      <c r="O10" s="6" t="s">
        <v>27</v>
      </c>
      <c r="P10" s="15"/>
      <c r="Q10" s="53" t="s">
        <v>57</v>
      </c>
      <c r="R10" s="54" t="s">
        <v>3</v>
      </c>
      <c r="S10" s="5"/>
      <c r="T10" s="5" t="s">
        <v>66</v>
      </c>
      <c r="U10" s="55"/>
      <c r="V10" s="56"/>
      <c r="W10" s="58">
        <v>1500</v>
      </c>
      <c r="X10" s="54" t="s">
        <v>3</v>
      </c>
      <c r="Y10" s="6" t="s">
        <v>70</v>
      </c>
    </row>
    <row r="12" spans="1:25" ht="13.5" thickBot="1" x14ac:dyDescent="0.25">
      <c r="A12" s="8" t="s">
        <v>20</v>
      </c>
      <c r="E12" s="40" t="s">
        <v>83</v>
      </c>
      <c r="F12" s="41"/>
      <c r="G12" s="42"/>
      <c r="H12" s="42"/>
      <c r="I12" s="42"/>
      <c r="J12" s="42"/>
      <c r="M12" s="9" t="s">
        <v>24</v>
      </c>
      <c r="T12" s="9" t="s">
        <v>49</v>
      </c>
      <c r="U12" s="1"/>
      <c r="V12" s="1"/>
    </row>
    <row r="13" spans="1:25" x14ac:dyDescent="0.2">
      <c r="A13" s="37" t="s">
        <v>0</v>
      </c>
      <c r="B13" s="35"/>
      <c r="C13" s="18" t="s">
        <v>1</v>
      </c>
      <c r="D13" s="131"/>
      <c r="E13" s="43"/>
      <c r="F13" s="44" t="s">
        <v>2</v>
      </c>
      <c r="G13" s="45"/>
      <c r="H13" s="46"/>
      <c r="I13" s="44" t="s">
        <v>3</v>
      </c>
      <c r="J13" s="47"/>
      <c r="K13" s="19" t="s">
        <v>21</v>
      </c>
      <c r="L13" s="20" t="s">
        <v>22</v>
      </c>
      <c r="M13" s="18" t="s">
        <v>28</v>
      </c>
      <c r="N13" s="18" t="s">
        <v>29</v>
      </c>
      <c r="O13" s="131" t="s">
        <v>23</v>
      </c>
      <c r="P13" s="66"/>
      <c r="Q13" s="20"/>
      <c r="R13" s="20" t="s">
        <v>45</v>
      </c>
      <c r="S13" s="20" t="s">
        <v>46</v>
      </c>
      <c r="T13" s="20" t="s">
        <v>47</v>
      </c>
      <c r="U13" s="20" t="s">
        <v>48</v>
      </c>
      <c r="V13" s="20" t="s">
        <v>50</v>
      </c>
      <c r="W13" s="20" t="s">
        <v>51</v>
      </c>
      <c r="X13" s="65" t="s">
        <v>52</v>
      </c>
    </row>
    <row r="14" spans="1:25" x14ac:dyDescent="0.2">
      <c r="A14" s="38" t="s">
        <v>4</v>
      </c>
      <c r="B14" s="21">
        <v>0</v>
      </c>
      <c r="C14" s="22" t="s">
        <v>5</v>
      </c>
      <c r="D14" s="23">
        <v>4</v>
      </c>
      <c r="E14" s="71">
        <v>0</v>
      </c>
      <c r="F14" s="72" t="s">
        <v>5</v>
      </c>
      <c r="G14" s="73">
        <v>0.5</v>
      </c>
      <c r="H14" s="74">
        <f>E14*2000</f>
        <v>0</v>
      </c>
      <c r="I14" s="72" t="s">
        <v>5</v>
      </c>
      <c r="J14" s="75">
        <f>G14*2000</f>
        <v>1000</v>
      </c>
      <c r="K14" s="21" t="s">
        <v>78</v>
      </c>
      <c r="L14" s="22" t="s">
        <v>35</v>
      </c>
      <c r="M14" s="22" t="s">
        <v>34</v>
      </c>
      <c r="N14" s="22" t="s">
        <v>33</v>
      </c>
      <c r="O14" s="23" t="s">
        <v>33</v>
      </c>
      <c r="P14" s="86" t="s">
        <v>86</v>
      </c>
      <c r="R14" s="1">
        <v>26</v>
      </c>
      <c r="S14" s="59">
        <v>27.1</v>
      </c>
      <c r="T14" s="59">
        <v>14.2</v>
      </c>
      <c r="U14" s="59">
        <v>10.7</v>
      </c>
      <c r="V14" s="1">
        <f>3*115</f>
        <v>345</v>
      </c>
      <c r="W14" s="60">
        <f>1.3*0*S14+V14*(T14-1)+0.4*115*2*U14</f>
        <v>5538.4</v>
      </c>
      <c r="X14" s="61">
        <f>W14/3</f>
        <v>1846.1333333333332</v>
      </c>
    </row>
    <row r="15" spans="1:25" x14ac:dyDescent="0.2">
      <c r="A15" s="2" t="s">
        <v>6</v>
      </c>
      <c r="B15" s="14">
        <v>4</v>
      </c>
      <c r="C15" s="1" t="s">
        <v>5</v>
      </c>
      <c r="D15" s="3">
        <v>10</v>
      </c>
      <c r="E15" s="76">
        <v>0.5</v>
      </c>
      <c r="F15" s="77" t="s">
        <v>5</v>
      </c>
      <c r="G15" s="78">
        <v>1.25</v>
      </c>
      <c r="H15" s="79">
        <f>E15*2000</f>
        <v>1000</v>
      </c>
      <c r="I15" s="77" t="s">
        <v>5</v>
      </c>
      <c r="J15" s="80">
        <f>G15*2000</f>
        <v>2500</v>
      </c>
      <c r="K15" s="14" t="s">
        <v>35</v>
      </c>
      <c r="L15" s="1" t="s">
        <v>34</v>
      </c>
      <c r="M15" s="1" t="s">
        <v>33</v>
      </c>
      <c r="N15" s="1" t="s">
        <v>31</v>
      </c>
      <c r="O15" s="3" t="s">
        <v>31</v>
      </c>
      <c r="P15" s="86" t="s">
        <v>87</v>
      </c>
      <c r="R15" s="1">
        <v>28</v>
      </c>
      <c r="S15" s="59">
        <v>31.6</v>
      </c>
      <c r="T15" s="59">
        <v>17.8</v>
      </c>
      <c r="U15" s="59">
        <v>14.6</v>
      </c>
      <c r="V15" s="1">
        <f>3*115</f>
        <v>345</v>
      </c>
      <c r="W15" s="60">
        <f>1.3*0*S15+V15*(T15-1)+0.4*115*2*U15</f>
        <v>7139.2</v>
      </c>
      <c r="X15" s="61">
        <f>W15/3</f>
        <v>2379.7333333333331</v>
      </c>
    </row>
    <row r="16" spans="1:25" x14ac:dyDescent="0.2">
      <c r="A16" s="2" t="s">
        <v>7</v>
      </c>
      <c r="B16" s="14">
        <v>10</v>
      </c>
      <c r="C16" s="1" t="s">
        <v>5</v>
      </c>
      <c r="D16" s="3">
        <v>30</v>
      </c>
      <c r="E16" s="76">
        <v>1.25</v>
      </c>
      <c r="F16" s="77" t="s">
        <v>5</v>
      </c>
      <c r="G16" s="78">
        <v>2.5</v>
      </c>
      <c r="H16" s="79">
        <f>E16*2000</f>
        <v>2500</v>
      </c>
      <c r="I16" s="77" t="s">
        <v>5</v>
      </c>
      <c r="J16" s="80">
        <f>G16*2000</f>
        <v>5000</v>
      </c>
      <c r="K16" s="14" t="s">
        <v>34</v>
      </c>
      <c r="L16" s="1" t="s">
        <v>33</v>
      </c>
      <c r="M16" s="1" t="s">
        <v>31</v>
      </c>
      <c r="N16" s="1" t="s">
        <v>25</v>
      </c>
      <c r="O16" s="3" t="s">
        <v>42</v>
      </c>
      <c r="P16" s="86" t="s">
        <v>88</v>
      </c>
      <c r="R16" s="1">
        <v>32</v>
      </c>
      <c r="S16" s="59">
        <v>44</v>
      </c>
      <c r="T16" s="59">
        <v>28.5</v>
      </c>
      <c r="U16" s="59">
        <v>28</v>
      </c>
      <c r="V16" s="1">
        <f>3*120</f>
        <v>360</v>
      </c>
      <c r="W16" s="60">
        <f>1.3*0*S16+V16*(T16-1)+0.4*115*2*U16</f>
        <v>12476</v>
      </c>
      <c r="X16" s="61">
        <f>W16/3</f>
        <v>4158.666666666667</v>
      </c>
    </row>
    <row r="17" spans="1:25" x14ac:dyDescent="0.2">
      <c r="A17" s="2" t="s">
        <v>8</v>
      </c>
      <c r="B17" s="14">
        <v>30</v>
      </c>
      <c r="C17" s="1" t="s">
        <v>5</v>
      </c>
      <c r="D17" s="3">
        <v>50</v>
      </c>
      <c r="E17" s="76">
        <v>2.5</v>
      </c>
      <c r="F17" s="77" t="s">
        <v>5</v>
      </c>
      <c r="G17" s="78">
        <v>3.25</v>
      </c>
      <c r="H17" s="79">
        <f>E17*2000</f>
        <v>5000</v>
      </c>
      <c r="I17" s="77" t="s">
        <v>5</v>
      </c>
      <c r="J17" s="80">
        <f>G17*2000</f>
        <v>6500</v>
      </c>
      <c r="K17" s="14" t="s">
        <v>36</v>
      </c>
      <c r="L17" s="1" t="s">
        <v>30</v>
      </c>
      <c r="M17" s="1" t="s">
        <v>26</v>
      </c>
      <c r="N17" s="1" t="s">
        <v>41</v>
      </c>
      <c r="O17" s="3" t="s">
        <v>41</v>
      </c>
      <c r="P17" s="86" t="s">
        <v>89</v>
      </c>
      <c r="R17" s="1">
        <v>36</v>
      </c>
      <c r="S17" s="59">
        <v>63.5</v>
      </c>
      <c r="T17" s="59">
        <v>47.2</v>
      </c>
      <c r="U17" s="59">
        <v>56.7</v>
      </c>
      <c r="V17" s="1">
        <f>3*125</f>
        <v>375</v>
      </c>
      <c r="W17" s="60">
        <f>1.3*0*S17+V17*(T17-1)+0.4*115*2*U17</f>
        <v>22541.4</v>
      </c>
      <c r="X17" s="61">
        <f>W17/3</f>
        <v>7513.8</v>
      </c>
    </row>
    <row r="18" spans="1:25" ht="13.5" thickBot="1" x14ac:dyDescent="0.25">
      <c r="A18" s="4" t="s">
        <v>9</v>
      </c>
      <c r="B18" s="15"/>
      <c r="C18" s="5" t="s">
        <v>10</v>
      </c>
      <c r="D18" s="6">
        <v>50</v>
      </c>
      <c r="E18" s="81">
        <v>3.25</v>
      </c>
      <c r="F18" s="82" t="s">
        <v>5</v>
      </c>
      <c r="G18" s="83">
        <v>4</v>
      </c>
      <c r="H18" s="84">
        <f>E18*2000</f>
        <v>6500</v>
      </c>
      <c r="I18" s="82" t="s">
        <v>5</v>
      </c>
      <c r="J18" s="85">
        <f>G18*2000</f>
        <v>8000</v>
      </c>
      <c r="K18" s="15" t="s">
        <v>30</v>
      </c>
      <c r="L18" s="5" t="s">
        <v>26</v>
      </c>
      <c r="M18" s="5" t="s">
        <v>32</v>
      </c>
      <c r="N18" s="5" t="s">
        <v>32</v>
      </c>
      <c r="O18" s="6" t="s">
        <v>43</v>
      </c>
      <c r="P18" s="87" t="s">
        <v>90</v>
      </c>
      <c r="Q18" s="5"/>
      <c r="R18" s="5">
        <v>38</v>
      </c>
      <c r="S18" s="62">
        <v>77.5</v>
      </c>
      <c r="T18" s="62">
        <v>61.5</v>
      </c>
      <c r="U18" s="62">
        <v>82.3</v>
      </c>
      <c r="V18" s="5">
        <f>3*130</f>
        <v>390</v>
      </c>
      <c r="W18" s="63">
        <f>1.3*0*S18+V18*(T18-1)+0.4*115*2*U18</f>
        <v>31166.6</v>
      </c>
      <c r="X18" s="64">
        <f>W18/3</f>
        <v>10388.866666666667</v>
      </c>
    </row>
    <row r="20" spans="1:25" x14ac:dyDescent="0.2">
      <c r="A20" s="8" t="s">
        <v>79</v>
      </c>
    </row>
    <row r="21" spans="1:25" x14ac:dyDescent="0.2">
      <c r="A21" s="8" t="s">
        <v>80</v>
      </c>
      <c r="K21" s="1"/>
      <c r="L21" s="1"/>
      <c r="M21" s="1"/>
      <c r="N21" s="1"/>
      <c r="O21" s="1"/>
    </row>
    <row r="22" spans="1:25" x14ac:dyDescent="0.2">
      <c r="A22" s="8" t="s">
        <v>81</v>
      </c>
      <c r="K22" s="1"/>
      <c r="L22" s="1"/>
      <c r="M22" s="1"/>
      <c r="N22" s="1"/>
      <c r="O22" s="1"/>
    </row>
    <row r="23" spans="1:25" x14ac:dyDescent="0.2">
      <c r="K23" s="1"/>
      <c r="L23" s="1"/>
      <c r="M23" s="1"/>
      <c r="N23" s="1"/>
      <c r="O23" s="1"/>
    </row>
    <row r="24" spans="1:25" x14ac:dyDescent="0.2">
      <c r="A24" s="8" t="s">
        <v>82</v>
      </c>
      <c r="K24" s="1"/>
      <c r="L24" s="1"/>
      <c r="M24" s="1"/>
      <c r="N24" s="1"/>
      <c r="O24" s="1"/>
    </row>
    <row r="25" spans="1:25" x14ac:dyDescent="0.2">
      <c r="K25" s="1"/>
      <c r="L25" s="1"/>
      <c r="M25" s="1"/>
      <c r="N25" s="1"/>
      <c r="O25" s="1"/>
      <c r="U25" s="1"/>
      <c r="V25" s="1"/>
      <c r="W25" s="1"/>
    </row>
    <row r="26" spans="1:25" x14ac:dyDescent="0.2">
      <c r="A26" s="8"/>
      <c r="P26"/>
      <c r="Q26"/>
      <c r="R26"/>
      <c r="S26"/>
      <c r="T26"/>
      <c r="U26" s="1"/>
      <c r="V26" s="1"/>
      <c r="W26" s="1"/>
      <c r="X26" s="1"/>
      <c r="Y26" s="1"/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617B982CC17F45B3DEA5C96B7F7DB2" ma:contentTypeVersion="1" ma:contentTypeDescription="Create a new document." ma:contentTypeScope="" ma:versionID="d81106c4295aee6a3e393a6fb6ad995e">
  <xsd:schema xmlns:xsd="http://www.w3.org/2001/XMLSchema" xmlns:xs="http://www.w3.org/2001/XMLSchema" xmlns:p="http://schemas.microsoft.com/office/2006/metadata/properties" xmlns:ns2="71ea4d20-2f94-44bc-a7a5-2fdb2b42bcc9" targetNamespace="http://schemas.microsoft.com/office/2006/metadata/properties" ma:root="true" ma:fieldsID="2acbf4c60c991515bfe9f4408a31caa3" ns2:_="">
    <xsd:import namespace="71ea4d20-2f94-44bc-a7a5-2fdb2b42bcc9"/>
    <xsd:element name="properties">
      <xsd:complexType>
        <xsd:sequence>
          <xsd:element name="documentManagement">
            <xsd:complexType>
              <xsd:all>
                <xsd:element ref="ns2:Application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ea4d20-2f94-44bc-a7a5-2fdb2b42bcc9" elementFormDefault="qualified">
    <xsd:import namespace="http://schemas.microsoft.com/office/2006/documentManagement/types"/>
    <xsd:import namespace="http://schemas.microsoft.com/office/infopath/2007/PartnerControls"/>
    <xsd:element name="Application" ma:index="8" ma:displayName="Application" ma:description="Application Type for this Spreadsheet" ma:format="Dropdown" ma:internalName="Application">
      <xsd:simpleType>
        <xsd:restriction base="dms:Choice">
          <xsd:enumeration value="(ASD) Box Culvert"/>
          <xsd:enumeration value="(ASD) Headwalls/Wingwalls"/>
          <xsd:enumeration value="(ASD) Spread Footing"/>
          <xsd:enumeration value="(ASD) Steel Beam Analysis"/>
          <xsd:enumeration value="(LRFD) Drilled Shaft Foundations"/>
          <xsd:enumeration value="(LRFD) Drilled Shaft Walls"/>
          <xsd:enumeration value="(LRFD) Gravity Walls"/>
          <xsd:enumeration value="(LRFD) Reinforced Soil Slope"/>
          <xsd:enumeration value="(LRFD) Spread Footing"/>
          <xsd:enumeration value="(LRFD) Tieback Anchor Walls"/>
          <xsd:enumeration value="Drilled Shaft Reinforcement"/>
          <xsd:enumeration value="Drilled Shaft Wall Loading"/>
          <xsd:enumeration value="Drilled Shaft Wall Resistance"/>
          <xsd:enumeration value="Driven Piles"/>
          <xsd:enumeration value="Earth Pressure"/>
          <xsd:enumeration value="Liang Analysis"/>
          <xsd:enumeration value="LPILE Analysis"/>
          <xsd:enumeration value="MSE Walls"/>
          <xsd:enumeration value="Retaining Wall Costs"/>
          <xsd:enumeration value="Rockfall"/>
          <xsd:enumeration value="Settlement"/>
          <xsd:enumeration value="Soil Classification"/>
          <xsd:enumeration value="Soil Strength"/>
          <xsd:enumeration value="Subgrade Resiliant Modulu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pplication xmlns="71ea4d20-2f94-44bc-a7a5-2fdb2b42bcc9">Soil Strength</Application>
  </documentManagement>
</p:properties>
</file>

<file path=customXml/itemProps1.xml><?xml version="1.0" encoding="utf-8"?>
<ds:datastoreItem xmlns:ds="http://schemas.openxmlformats.org/officeDocument/2006/customXml" ds:itemID="{265CDF25-F49D-43F5-BBC9-5281874AC7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2199B3B-AE8C-4353-B64E-C3DDD787C9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ea4d20-2f94-44bc-a7a5-2fdb2b42bc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E8D8CBE-4081-426D-AB12-23902DAC56EE}">
  <ds:schemaRefs>
    <ds:schemaRef ds:uri="http://schemas.microsoft.com/office/2006/documentManagement/types"/>
    <ds:schemaRef ds:uri="http://purl.org/dc/dcmitype/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  <ds:schemaRef ds:uri="http://schemas.openxmlformats.org/package/2006/metadata/core-properties"/>
    <ds:schemaRef ds:uri="71ea4d20-2f94-44bc-a7a5-2fdb2b42bcc9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Chart</vt:lpstr>
      <vt:lpstr>Lookups</vt:lpstr>
      <vt:lpstr>Table 1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Typical Soil Strength and Unit Weight</dc:title>
  <dc:creator>IT CADD Section</dc:creator>
  <cp:lastModifiedBy>Christopher Notz</cp:lastModifiedBy>
  <cp:lastPrinted>2006-03-30T14:19:23Z</cp:lastPrinted>
  <dcterms:created xsi:type="dcterms:W3CDTF">2001-08-10T11:46:04Z</dcterms:created>
  <dcterms:modified xsi:type="dcterms:W3CDTF">2023-08-02T18:48:22Z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0x01010024617B982CC17F45B3DEA5C96B7F7DB2</vt:lpwstr>
  </property>
</Properties>
</file>